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dkendelser\Quick Calc\"/>
    </mc:Choice>
  </mc:AlternateContent>
  <bookViews>
    <workbookView xWindow="-15" yWindow="-15" windowWidth="14520" windowHeight="14655" activeTab="2"/>
  </bookViews>
  <sheets>
    <sheet name="Frese S" sheetId="8" r:id="rId1"/>
    <sheet name="Frese SIGMA Compact" sheetId="20" r:id="rId2"/>
    <sheet name="Frese SIGMA Compact Flange" sheetId="24" r:id="rId3"/>
    <sheet name="Frese OPTIMA" sheetId="9" r:id="rId4"/>
    <sheet name="Frese OPTIMA Compact" sheetId="12" r:id="rId5"/>
    <sheet name="Frese OPTIMA Compact Flanged" sheetId="21" r:id="rId6"/>
    <sheet name="Frese PV" sheetId="7" r:id="rId7"/>
    <sheet name="Frese PV Compact" sheetId="17" r:id="rId8"/>
    <sheet name="Frese PVS" sheetId="11" r:id="rId9"/>
    <sheet name="Frese PV-SIGMA" sheetId="22" r:id="rId10"/>
    <sheet name="ALPHA" sheetId="18" r:id="rId11"/>
    <sheet name="ALPHA Wafer" sheetId="15" r:id="rId12"/>
    <sheet name="EVA" sheetId="14" r:id="rId13"/>
    <sheet name="Frese OPTIMIZER" sheetId="19" r:id="rId14"/>
    <sheet name="Frese OPTIMIZER 6 way" sheetId="23" r:id="rId15"/>
  </sheets>
  <definedNames>
    <definedName name="_xlnm.Print_Area" localSheetId="3">'Frese OPTIMA'!$A$1:$K$33</definedName>
    <definedName name="_xlnm.Print_Area" localSheetId="4">'Frese OPTIMA Compact'!$A$1:$J$37</definedName>
    <definedName name="_xlnm.Print_Area" localSheetId="5">'Frese OPTIMA Compact Flanged'!$A$1:$J$38</definedName>
    <definedName name="_xlnm.Print_Area" localSheetId="6">'Frese PV'!$A$1:$J$33</definedName>
    <definedName name="_xlnm.Print_Area" localSheetId="7">'Frese PV Compact'!$A$1:$J$35</definedName>
    <definedName name="_xlnm.Print_Area" localSheetId="8">'Frese PVS'!$A$1:$J$42</definedName>
    <definedName name="_xlnm.Print_Area" localSheetId="9">'Frese PV-SIGMA'!$A$1:$J$42</definedName>
    <definedName name="_xlnm.Print_Area" localSheetId="0">'Frese S'!$A$1:$K$33</definedName>
    <definedName name="_xlnm.Print_Area" localSheetId="1">'Frese SIGMA Compact'!$A$1:$K$34</definedName>
    <definedName name="_xlnm.Print_Area" localSheetId="2">'Frese SIGMA Compact Flange'!$A$1:$J$38</definedName>
  </definedNames>
  <calcPr calcId="171027"/>
</workbook>
</file>

<file path=xl/calcChain.xml><?xml version="1.0" encoding="utf-8"?>
<calcChain xmlns="http://schemas.openxmlformats.org/spreadsheetml/2006/main">
  <c r="I61" i="24" l="1"/>
  <c r="I60" i="24"/>
  <c r="D27" i="24" s="1"/>
  <c r="I59" i="24"/>
  <c r="I58" i="24"/>
  <c r="I57" i="24"/>
  <c r="I56" i="24"/>
  <c r="E23" i="24" s="1"/>
  <c r="I55" i="24"/>
  <c r="I54" i="24"/>
  <c r="I53" i="24"/>
  <c r="E20" i="24" s="1"/>
  <c r="I52" i="24"/>
  <c r="E19" i="24" s="1"/>
  <c r="I51" i="24"/>
  <c r="I50" i="24"/>
  <c r="I49" i="24"/>
  <c r="E16" i="24" s="1"/>
  <c r="I48" i="24"/>
  <c r="E15" i="24" s="1"/>
  <c r="I47" i="24"/>
  <c r="I46" i="24"/>
  <c r="I45" i="24"/>
  <c r="E12" i="24" s="1"/>
  <c r="I44" i="24"/>
  <c r="E11" i="24" s="1"/>
  <c r="D26" i="24"/>
  <c r="E26" i="24" s="1"/>
  <c r="D25" i="24"/>
  <c r="E25" i="24" s="1"/>
  <c r="D23" i="24"/>
  <c r="E22" i="24"/>
  <c r="D22" i="24"/>
  <c r="E21" i="24"/>
  <c r="D21" i="24"/>
  <c r="E18" i="24"/>
  <c r="D18" i="24"/>
  <c r="E17" i="24"/>
  <c r="D17" i="24"/>
  <c r="D15" i="24"/>
  <c r="E14" i="24"/>
  <c r="D14" i="24"/>
  <c r="E13" i="24"/>
  <c r="D13" i="24"/>
  <c r="D19" i="24" l="1"/>
  <c r="E27" i="24"/>
  <c r="D12" i="24"/>
  <c r="D16" i="24"/>
  <c r="D20" i="24"/>
  <c r="D24" i="24"/>
  <c r="E24" i="24" s="1"/>
  <c r="D28" i="24"/>
  <c r="E28" i="24" s="1"/>
  <c r="D11" i="24"/>
  <c r="K46" i="20"/>
  <c r="J46" i="20"/>
  <c r="D17" i="20" l="1"/>
  <c r="F17" i="20" s="1"/>
  <c r="E41" i="23" l="1"/>
  <c r="E42" i="23"/>
  <c r="E40" i="23"/>
  <c r="E13" i="23" s="1"/>
  <c r="F13" i="23" s="1"/>
  <c r="E39" i="23"/>
  <c r="E12" i="23" s="1"/>
  <c r="F12" i="23" s="1"/>
  <c r="D14" i="23" l="1"/>
  <c r="G14" i="23" s="1"/>
  <c r="D12" i="23"/>
  <c r="G12" i="23" s="1"/>
  <c r="D13" i="23"/>
  <c r="G13" i="23" s="1"/>
  <c r="D15" i="23"/>
  <c r="G15" i="23" s="1"/>
  <c r="I58" i="21"/>
  <c r="D25" i="21" s="1"/>
  <c r="I59" i="21"/>
  <c r="I60" i="21"/>
  <c r="D27" i="21" s="1"/>
  <c r="I61" i="21"/>
  <c r="E14" i="23" l="1"/>
  <c r="F14" i="23" s="1"/>
  <c r="E15" i="23"/>
  <c r="F15" i="23" s="1"/>
  <c r="D28" i="21"/>
  <c r="E28" i="21" s="1"/>
  <c r="E27" i="21"/>
  <c r="D26" i="21"/>
  <c r="E26" i="21" s="1"/>
  <c r="E25" i="21"/>
  <c r="I56" i="21"/>
  <c r="D23" i="21" s="1"/>
  <c r="I57" i="21"/>
  <c r="D24" i="21" l="1"/>
  <c r="E24" i="21" s="1"/>
  <c r="E23" i="21"/>
  <c r="J48" i="17"/>
  <c r="J47" i="17"/>
  <c r="J46" i="17"/>
  <c r="J45" i="17"/>
  <c r="J44" i="17"/>
  <c r="J43" i="17"/>
  <c r="J42" i="17"/>
  <c r="J41" i="17"/>
  <c r="J40" i="17"/>
  <c r="J56" i="22"/>
  <c r="J55" i="22"/>
  <c r="J54" i="22"/>
  <c r="J53" i="22"/>
  <c r="J52" i="22"/>
  <c r="J51" i="22"/>
  <c r="J50" i="22"/>
  <c r="J49" i="22"/>
  <c r="J48" i="22"/>
  <c r="T56" i="22" l="1"/>
  <c r="S56" i="22"/>
  <c r="I56" i="22"/>
  <c r="B19" i="22" s="1"/>
  <c r="T55" i="22"/>
  <c r="S55" i="22"/>
  <c r="I55" i="22"/>
  <c r="B18" i="22" s="1"/>
  <c r="T54" i="22"/>
  <c r="S54" i="22"/>
  <c r="I54" i="22"/>
  <c r="T53" i="22"/>
  <c r="S53" i="22"/>
  <c r="I53" i="22"/>
  <c r="T52" i="22"/>
  <c r="S52" i="22"/>
  <c r="I52" i="22"/>
  <c r="T51" i="22"/>
  <c r="S51" i="22"/>
  <c r="I51" i="22"/>
  <c r="T50" i="22"/>
  <c r="S50" i="22"/>
  <c r="I50" i="22"/>
  <c r="T49" i="22"/>
  <c r="S49" i="22"/>
  <c r="I49" i="22"/>
  <c r="T48" i="22"/>
  <c r="S48" i="22"/>
  <c r="I48" i="22"/>
  <c r="B11" i="22" s="1"/>
  <c r="G18" i="22" l="1"/>
  <c r="G19" i="22"/>
  <c r="B12" i="22"/>
  <c r="F22" i="22" s="1"/>
  <c r="B13" i="22"/>
  <c r="F23" i="22" s="1"/>
  <c r="B17" i="22"/>
  <c r="F27" i="22" s="1"/>
  <c r="F29" i="22"/>
  <c r="D12" i="22"/>
  <c r="F12" i="22" s="1"/>
  <c r="D13" i="22"/>
  <c r="F13" i="22" s="1"/>
  <c r="D14" i="22"/>
  <c r="F14" i="22" s="1"/>
  <c r="D15" i="22"/>
  <c r="F15" i="22" s="1"/>
  <c r="D16" i="22"/>
  <c r="F16" i="22" s="1"/>
  <c r="D17" i="22"/>
  <c r="F17" i="22" s="1"/>
  <c r="D18" i="22"/>
  <c r="F18" i="22" s="1"/>
  <c r="D19" i="22"/>
  <c r="F19" i="22" s="1"/>
  <c r="F21" i="22"/>
  <c r="F28" i="22"/>
  <c r="D11" i="22"/>
  <c r="F11" i="22" s="1"/>
  <c r="B14" i="22"/>
  <c r="B15" i="22"/>
  <c r="B16" i="22"/>
  <c r="G13" i="22" l="1"/>
  <c r="G17" i="22"/>
  <c r="G11" i="22"/>
  <c r="G12" i="22"/>
  <c r="F26" i="22"/>
  <c r="G16" i="22" s="1"/>
  <c r="F24" i="22"/>
  <c r="G14" i="22" s="1"/>
  <c r="F25" i="22"/>
  <c r="G15" i="22" s="1"/>
  <c r="J46" i="12"/>
  <c r="I46" i="12"/>
  <c r="E16" i="12" s="1"/>
  <c r="D16" i="12" l="1"/>
  <c r="K44" i="20"/>
  <c r="J44" i="20"/>
  <c r="E17" i="20" l="1"/>
  <c r="D15" i="20"/>
  <c r="F15" i="20" s="1"/>
  <c r="J39" i="19"/>
  <c r="I39" i="19"/>
  <c r="J50" i="12" l="1"/>
  <c r="J51" i="12"/>
  <c r="I51" i="12"/>
  <c r="I50" i="12"/>
  <c r="D20" i="12" s="1"/>
  <c r="D21" i="12" l="1"/>
  <c r="E21" i="12" s="1"/>
  <c r="E20" i="12"/>
  <c r="I48" i="17"/>
  <c r="I47" i="17"/>
  <c r="E18" i="17" l="1"/>
  <c r="C30" i="17" s="1"/>
  <c r="D30" i="17" s="1"/>
  <c r="E19" i="17"/>
  <c r="C31" i="17" s="1"/>
  <c r="D31" i="17" s="1"/>
  <c r="I55" i="21" l="1"/>
  <c r="I54" i="21"/>
  <c r="I53" i="21"/>
  <c r="D20" i="21" s="1"/>
  <c r="I52" i="21"/>
  <c r="E19" i="21" s="1"/>
  <c r="I51" i="21"/>
  <c r="E18" i="21" s="1"/>
  <c r="I50" i="21"/>
  <c r="E17" i="21" s="1"/>
  <c r="I49" i="21"/>
  <c r="I48" i="21"/>
  <c r="I47" i="21"/>
  <c r="I46" i="21"/>
  <c r="I45" i="21"/>
  <c r="D12" i="21" s="1"/>
  <c r="I44" i="21"/>
  <c r="D16" i="21" l="1"/>
  <c r="E16" i="21" s="1"/>
  <c r="D18" i="21"/>
  <c r="E12" i="21"/>
  <c r="E20" i="21"/>
  <c r="D14" i="21"/>
  <c r="E14" i="21" s="1"/>
  <c r="D22" i="21"/>
  <c r="E22" i="21" s="1"/>
  <c r="D11" i="21"/>
  <c r="E11" i="21" s="1"/>
  <c r="D15" i="21"/>
  <c r="E15" i="21" s="1"/>
  <c r="D19" i="21"/>
  <c r="D13" i="21"/>
  <c r="E13" i="21" s="1"/>
  <c r="D17" i="21"/>
  <c r="D21" i="21"/>
  <c r="E21" i="21" s="1"/>
  <c r="K49" i="20"/>
  <c r="J49" i="20"/>
  <c r="K48" i="20"/>
  <c r="J48" i="20"/>
  <c r="K47" i="20"/>
  <c r="J47" i="20"/>
  <c r="K45" i="20"/>
  <c r="J45" i="20"/>
  <c r="D16" i="20" s="1"/>
  <c r="F16" i="20" s="1"/>
  <c r="K43" i="20"/>
  <c r="J43" i="20"/>
  <c r="K42" i="20"/>
  <c r="J42" i="20"/>
  <c r="D13" i="20" s="1"/>
  <c r="K41" i="20"/>
  <c r="J41" i="20"/>
  <c r="K40" i="20"/>
  <c r="J40" i="20"/>
  <c r="D20" i="20" l="1"/>
  <c r="F19" i="20"/>
  <c r="D18" i="20"/>
  <c r="F18" i="20" s="1"/>
  <c r="D19" i="20"/>
  <c r="D14" i="20"/>
  <c r="F14" i="20" s="1"/>
  <c r="F13" i="20"/>
  <c r="D12" i="20"/>
  <c r="F12" i="20" s="1"/>
  <c r="D11" i="20"/>
  <c r="E11" i="20" s="1"/>
  <c r="F20" i="20"/>
  <c r="E18" i="20" l="1"/>
  <c r="E16" i="20"/>
  <c r="F11" i="20"/>
  <c r="E20" i="20"/>
  <c r="E19" i="20"/>
  <c r="E14" i="20"/>
  <c r="E13" i="20"/>
  <c r="I42" i="17"/>
  <c r="I43" i="17"/>
  <c r="I44" i="17"/>
  <c r="I45" i="17"/>
  <c r="I46" i="17"/>
  <c r="I54" i="12"/>
  <c r="J54" i="12"/>
  <c r="I55" i="12"/>
  <c r="J55" i="12"/>
  <c r="D25" i="12" l="1"/>
  <c r="D24" i="12"/>
  <c r="E15" i="17"/>
  <c r="C27" i="17" s="1"/>
  <c r="E13" i="17"/>
  <c r="C25" i="17" s="1"/>
  <c r="D25" i="17" s="1"/>
  <c r="E25" i="12"/>
  <c r="E14" i="17"/>
  <c r="C26" i="17" s="1"/>
  <c r="D26" i="17" s="1"/>
  <c r="E16" i="17"/>
  <c r="C28" i="17" s="1"/>
  <c r="D28" i="17" s="1"/>
  <c r="E17" i="17"/>
  <c r="E24" i="12"/>
  <c r="J38" i="19"/>
  <c r="D13" i="19" s="1"/>
  <c r="I38" i="19"/>
  <c r="D12" i="19" s="1"/>
  <c r="J37" i="19"/>
  <c r="I37" i="19"/>
  <c r="E11" i="19" s="1"/>
  <c r="F13" i="19" l="1"/>
  <c r="E13" i="19"/>
  <c r="E12" i="19"/>
  <c r="D27" i="17"/>
  <c r="C29" i="17"/>
  <c r="D29" i="17" s="1"/>
  <c r="D11" i="19"/>
  <c r="F11" i="19" s="1"/>
  <c r="F12" i="19"/>
  <c r="K40" i="18"/>
  <c r="J40" i="18"/>
  <c r="I40" i="18"/>
  <c r="K7" i="18" s="1"/>
  <c r="H40" i="18"/>
  <c r="G40" i="18"/>
  <c r="M9" i="18"/>
  <c r="F40" i="18"/>
  <c r="E40" i="18"/>
  <c r="D40" i="18"/>
  <c r="K39" i="18"/>
  <c r="J39" i="18"/>
  <c r="I39" i="18"/>
  <c r="H39" i="18"/>
  <c r="G39" i="18"/>
  <c r="F39" i="18"/>
  <c r="E39" i="18"/>
  <c r="D39" i="18"/>
  <c r="K38" i="18"/>
  <c r="J38" i="18"/>
  <c r="I38" i="18"/>
  <c r="H38" i="18"/>
  <c r="G38" i="18"/>
  <c r="F38" i="18"/>
  <c r="E38" i="18"/>
  <c r="D38" i="18"/>
  <c r="K37" i="18"/>
  <c r="J37" i="18"/>
  <c r="I37" i="18"/>
  <c r="H37" i="18"/>
  <c r="G37" i="18"/>
  <c r="F37" i="18"/>
  <c r="E37" i="18"/>
  <c r="D37" i="18"/>
  <c r="K35" i="18"/>
  <c r="J35" i="18"/>
  <c r="I35" i="18"/>
  <c r="H35" i="18"/>
  <c r="G35" i="18"/>
  <c r="F35" i="18"/>
  <c r="E35" i="18"/>
  <c r="D35" i="18"/>
  <c r="K34" i="18"/>
  <c r="J34" i="18"/>
  <c r="I34" i="18"/>
  <c r="H34" i="18"/>
  <c r="G34" i="18"/>
  <c r="F34" i="18"/>
  <c r="E34" i="18"/>
  <c r="D34" i="18"/>
  <c r="K33" i="18"/>
  <c r="J33" i="18"/>
  <c r="I33" i="18"/>
  <c r="H33" i="18"/>
  <c r="G33" i="18"/>
  <c r="F33" i="18"/>
  <c r="E33" i="18"/>
  <c r="D33" i="18"/>
  <c r="M13" i="18"/>
  <c r="L13" i="18"/>
  <c r="K13" i="18"/>
  <c r="J13" i="18"/>
  <c r="I13" i="18"/>
  <c r="H13" i="18"/>
  <c r="L9" i="18"/>
  <c r="K9" i="18"/>
  <c r="J9" i="18"/>
  <c r="N9" i="18"/>
  <c r="M7" i="18"/>
  <c r="L7" i="18"/>
  <c r="J7" i="18"/>
  <c r="N7" i="18" s="1"/>
  <c r="J52" i="12"/>
  <c r="J53" i="12"/>
  <c r="I53" i="12"/>
  <c r="D23" i="12" s="1"/>
  <c r="I52" i="12"/>
  <c r="D22" i="12" s="1"/>
  <c r="I41" i="17"/>
  <c r="E12" i="17" s="1"/>
  <c r="C24" i="17" s="1"/>
  <c r="I40" i="17"/>
  <c r="C21" i="14"/>
  <c r="B21" i="14"/>
  <c r="B17" i="14"/>
  <c r="C17" i="14"/>
  <c r="I97" i="15"/>
  <c r="L32" i="15" s="1"/>
  <c r="H97" i="15"/>
  <c r="G97" i="15"/>
  <c r="I96" i="15"/>
  <c r="H96" i="15"/>
  <c r="G96" i="15"/>
  <c r="I95" i="15"/>
  <c r="H95" i="15"/>
  <c r="G95" i="15"/>
  <c r="I94" i="15"/>
  <c r="H94" i="15"/>
  <c r="G94" i="15"/>
  <c r="I93" i="15"/>
  <c r="H93" i="15"/>
  <c r="G93" i="15"/>
  <c r="I92" i="15"/>
  <c r="H92" i="15"/>
  <c r="G92" i="15"/>
  <c r="I91" i="15"/>
  <c r="H91" i="15"/>
  <c r="G91" i="15"/>
  <c r="I90" i="15"/>
  <c r="H90" i="15"/>
  <c r="G90" i="15"/>
  <c r="I89" i="15"/>
  <c r="H89" i="15"/>
  <c r="G89" i="15"/>
  <c r="I88" i="15"/>
  <c r="H88" i="15"/>
  <c r="G88" i="15"/>
  <c r="I87" i="15"/>
  <c r="H87" i="15"/>
  <c r="G87" i="15"/>
  <c r="I86" i="15"/>
  <c r="H86" i="15"/>
  <c r="G86" i="15"/>
  <c r="I85" i="15"/>
  <c r="H85" i="15"/>
  <c r="G85" i="15"/>
  <c r="I84" i="15"/>
  <c r="H84" i="15"/>
  <c r="G84" i="15"/>
  <c r="I83" i="15"/>
  <c r="H83" i="15"/>
  <c r="G83" i="15"/>
  <c r="I82" i="15"/>
  <c r="H82" i="15"/>
  <c r="G82" i="15"/>
  <c r="I81" i="15"/>
  <c r="H81" i="15"/>
  <c r="G81" i="15"/>
  <c r="I80" i="15"/>
  <c r="H80" i="15"/>
  <c r="G80" i="15"/>
  <c r="I79" i="15"/>
  <c r="H79" i="15"/>
  <c r="G79" i="15"/>
  <c r="I78" i="15"/>
  <c r="H78" i="15"/>
  <c r="G78" i="15"/>
  <c r="I77" i="15"/>
  <c r="H77" i="15"/>
  <c r="G77" i="15"/>
  <c r="I76" i="15"/>
  <c r="H76" i="15"/>
  <c r="G76" i="15"/>
  <c r="I75" i="15"/>
  <c r="H75" i="15"/>
  <c r="G75" i="15"/>
  <c r="I74" i="15"/>
  <c r="H74" i="15"/>
  <c r="G74" i="15"/>
  <c r="I73" i="15"/>
  <c r="H73" i="15"/>
  <c r="G73" i="15"/>
  <c r="I72" i="15"/>
  <c r="H72" i="15"/>
  <c r="G72" i="15"/>
  <c r="I71" i="15"/>
  <c r="H71" i="15"/>
  <c r="G71" i="15"/>
  <c r="I70" i="15"/>
  <c r="H70" i="15"/>
  <c r="G70" i="15"/>
  <c r="I69" i="15"/>
  <c r="H69" i="15"/>
  <c r="G69" i="15"/>
  <c r="I68" i="15"/>
  <c r="H68" i="15"/>
  <c r="J39" i="15" s="1"/>
  <c r="G68" i="15"/>
  <c r="I67" i="15"/>
  <c r="H67" i="15"/>
  <c r="G67" i="15"/>
  <c r="I66" i="15"/>
  <c r="H66" i="15"/>
  <c r="G66" i="15"/>
  <c r="I65" i="15"/>
  <c r="L40" i="15" s="1"/>
  <c r="H65" i="15"/>
  <c r="G65" i="15"/>
  <c r="I64" i="15"/>
  <c r="H64" i="15"/>
  <c r="G64" i="15"/>
  <c r="I63" i="15"/>
  <c r="H63" i="15"/>
  <c r="G63" i="15"/>
  <c r="I62" i="15"/>
  <c r="H62" i="15"/>
  <c r="G62" i="15"/>
  <c r="M41" i="15" s="1"/>
  <c r="I61" i="15"/>
  <c r="H61" i="15"/>
  <c r="G61" i="15"/>
  <c r="I60" i="15"/>
  <c r="H60" i="15"/>
  <c r="G60" i="15"/>
  <c r="I59" i="15"/>
  <c r="H59" i="15"/>
  <c r="G59" i="15"/>
  <c r="I58" i="15"/>
  <c r="H58" i="15"/>
  <c r="G58" i="15"/>
  <c r="I57" i="15"/>
  <c r="H57" i="15"/>
  <c r="G57" i="15"/>
  <c r="I56" i="15"/>
  <c r="H56" i="15"/>
  <c r="G56" i="15"/>
  <c r="I55" i="15"/>
  <c r="H55" i="15"/>
  <c r="G55" i="15"/>
  <c r="I54" i="15"/>
  <c r="H54" i="15"/>
  <c r="G54" i="15"/>
  <c r="G53" i="15"/>
  <c r="M42" i="15"/>
  <c r="M43" i="15" s="1"/>
  <c r="M44" i="15" s="1"/>
  <c r="L42" i="15"/>
  <c r="L43" i="15" s="1"/>
  <c r="L44" i="15" s="1"/>
  <c r="K42" i="15"/>
  <c r="K43" i="15" s="1"/>
  <c r="J42" i="15"/>
  <c r="J43" i="15" s="1"/>
  <c r="J44" i="15" s="1"/>
  <c r="G42" i="15"/>
  <c r="G43" i="15" s="1"/>
  <c r="G44" i="15" s="1"/>
  <c r="F42" i="15"/>
  <c r="F43" i="15"/>
  <c r="F44" i="15" s="1"/>
  <c r="E42" i="15"/>
  <c r="E43" i="15"/>
  <c r="E44" i="15" s="1"/>
  <c r="D42" i="15"/>
  <c r="D43" i="15"/>
  <c r="L41" i="15"/>
  <c r="K41" i="15"/>
  <c r="N41" i="15"/>
  <c r="J41" i="15"/>
  <c r="G41" i="15"/>
  <c r="F41" i="15"/>
  <c r="E41" i="15"/>
  <c r="D41" i="15"/>
  <c r="H41" i="15"/>
  <c r="M40" i="15"/>
  <c r="K40" i="15"/>
  <c r="N40" i="15" s="1"/>
  <c r="J40" i="15"/>
  <c r="G40" i="15"/>
  <c r="F40" i="15"/>
  <c r="E40" i="15"/>
  <c r="D40" i="15"/>
  <c r="H40" i="15" s="1"/>
  <c r="M39" i="15"/>
  <c r="L39" i="15"/>
  <c r="K39" i="15"/>
  <c r="N39" i="15"/>
  <c r="G39" i="15"/>
  <c r="F39" i="15"/>
  <c r="E39" i="15"/>
  <c r="D39" i="15"/>
  <c r="H39" i="15" s="1"/>
  <c r="M38" i="15"/>
  <c r="L38" i="15"/>
  <c r="K38" i="15"/>
  <c r="N38" i="15"/>
  <c r="J38" i="15"/>
  <c r="G38" i="15"/>
  <c r="F38" i="15"/>
  <c r="L8" i="15" s="1"/>
  <c r="E38" i="15"/>
  <c r="D38" i="15"/>
  <c r="H38" i="15"/>
  <c r="M37" i="15"/>
  <c r="L37" i="15"/>
  <c r="K37" i="15"/>
  <c r="N37" i="15" s="1"/>
  <c r="J37" i="15"/>
  <c r="G37" i="15"/>
  <c r="F37" i="15"/>
  <c r="E37" i="15"/>
  <c r="D37" i="15"/>
  <c r="H37" i="15" s="1"/>
  <c r="M36" i="15"/>
  <c r="L36" i="15"/>
  <c r="K36" i="15"/>
  <c r="N36" i="15" s="1"/>
  <c r="J36" i="15"/>
  <c r="G36" i="15"/>
  <c r="F36" i="15"/>
  <c r="E36" i="15"/>
  <c r="D36" i="15"/>
  <c r="H36" i="15" s="1"/>
  <c r="R8" i="15"/>
  <c r="M35" i="15"/>
  <c r="L35" i="15"/>
  <c r="K35" i="15"/>
  <c r="N35" i="15" s="1"/>
  <c r="J35" i="15"/>
  <c r="G35" i="15"/>
  <c r="F35" i="15"/>
  <c r="E35" i="15"/>
  <c r="D35" i="15"/>
  <c r="H35" i="15" s="1"/>
  <c r="M34" i="15"/>
  <c r="K34" i="15"/>
  <c r="N34" i="15" s="1"/>
  <c r="J34" i="15"/>
  <c r="G34" i="15"/>
  <c r="F34" i="15"/>
  <c r="E34" i="15"/>
  <c r="D34" i="15"/>
  <c r="H34" i="15" s="1"/>
  <c r="M33" i="15"/>
  <c r="K33" i="15"/>
  <c r="N33" i="15"/>
  <c r="O36" i="15" s="1"/>
  <c r="J33" i="15"/>
  <c r="G33" i="15"/>
  <c r="F33" i="15"/>
  <c r="E33" i="15"/>
  <c r="D33" i="15"/>
  <c r="H33" i="15" s="1"/>
  <c r="M32" i="15"/>
  <c r="O32" i="15" s="1"/>
  <c r="K32" i="15"/>
  <c r="J32" i="15"/>
  <c r="G32" i="15"/>
  <c r="F32" i="15"/>
  <c r="E32" i="15"/>
  <c r="D32" i="15"/>
  <c r="H32" i="15"/>
  <c r="M31" i="15"/>
  <c r="O31" i="15" s="1"/>
  <c r="K31" i="15"/>
  <c r="J31" i="15"/>
  <c r="G31" i="15"/>
  <c r="F31" i="15"/>
  <c r="E31" i="15"/>
  <c r="D31" i="15"/>
  <c r="H31" i="15" s="1"/>
  <c r="M30" i="15"/>
  <c r="L30" i="15"/>
  <c r="K30" i="15"/>
  <c r="O30" i="15" s="1"/>
  <c r="J30" i="15"/>
  <c r="G30" i="15"/>
  <c r="K57" i="15"/>
  <c r="F30" i="15"/>
  <c r="K56" i="15"/>
  <c r="E30" i="15"/>
  <c r="K55" i="15" s="1"/>
  <c r="D30" i="15"/>
  <c r="K54" i="15" s="1"/>
  <c r="D16" i="15"/>
  <c r="M8" i="15"/>
  <c r="J8" i="15"/>
  <c r="I8" i="15"/>
  <c r="K8" i="15" s="1"/>
  <c r="M6" i="15"/>
  <c r="L6" i="15"/>
  <c r="K6" i="15"/>
  <c r="J6" i="15"/>
  <c r="B25" i="14"/>
  <c r="C25" i="14"/>
  <c r="C33" i="14"/>
  <c r="D33" i="14"/>
  <c r="E33" i="14"/>
  <c r="F33" i="14"/>
  <c r="G33" i="14"/>
  <c r="H33" i="14"/>
  <c r="I33" i="14"/>
  <c r="J33" i="14"/>
  <c r="K33" i="14"/>
  <c r="L33" i="14"/>
  <c r="C34" i="14"/>
  <c r="D34" i="14"/>
  <c r="E34" i="14"/>
  <c r="F34" i="14"/>
  <c r="G34" i="14"/>
  <c r="H34" i="14"/>
  <c r="I34" i="14"/>
  <c r="J34" i="14"/>
  <c r="K34" i="14"/>
  <c r="L34" i="14"/>
  <c r="C35" i="14"/>
  <c r="D35" i="14"/>
  <c r="E35" i="14"/>
  <c r="F35" i="14"/>
  <c r="G35" i="14"/>
  <c r="H35" i="14"/>
  <c r="I35" i="14"/>
  <c r="J35" i="14"/>
  <c r="K35" i="14"/>
  <c r="L35" i="14"/>
  <c r="C38" i="14"/>
  <c r="I9" i="14" s="1"/>
  <c r="N9" i="14" s="1"/>
  <c r="D38" i="14"/>
  <c r="J9" i="14" s="1"/>
  <c r="E38" i="14"/>
  <c r="K9" i="14" s="1"/>
  <c r="F38" i="14"/>
  <c r="L9" i="14" s="1"/>
  <c r="G38" i="14"/>
  <c r="M9" i="14" s="1"/>
  <c r="H38" i="14"/>
  <c r="I7" i="14" s="1"/>
  <c r="N7" i="14" s="1"/>
  <c r="I38" i="14"/>
  <c r="J7" i="14" s="1"/>
  <c r="J38" i="14"/>
  <c r="K7" i="14" s="1"/>
  <c r="K38" i="14"/>
  <c r="L7" i="14" s="1"/>
  <c r="L38" i="14"/>
  <c r="M7" i="14" s="1"/>
  <c r="I49" i="12"/>
  <c r="E19" i="12" s="1"/>
  <c r="I48" i="12"/>
  <c r="I47" i="12"/>
  <c r="D17" i="12" s="1"/>
  <c r="I45" i="12"/>
  <c r="E15" i="12" s="1"/>
  <c r="I44" i="12"/>
  <c r="I43" i="12"/>
  <c r="D13" i="12" s="1"/>
  <c r="I42" i="12"/>
  <c r="D12" i="12" s="1"/>
  <c r="I41" i="12"/>
  <c r="D11" i="12" s="1"/>
  <c r="J41" i="12"/>
  <c r="J42" i="12"/>
  <c r="J43" i="12"/>
  <c r="J44" i="12"/>
  <c r="J45" i="12"/>
  <c r="J47" i="12"/>
  <c r="J48" i="12"/>
  <c r="J49" i="12"/>
  <c r="I56" i="11"/>
  <c r="B19" i="11" s="1"/>
  <c r="I55" i="11"/>
  <c r="B18" i="11"/>
  <c r="G18" i="11" s="1"/>
  <c r="I54" i="11"/>
  <c r="I52" i="11"/>
  <c r="I50" i="11"/>
  <c r="S50" i="11"/>
  <c r="S51" i="11"/>
  <c r="I48" i="11"/>
  <c r="S48" i="11"/>
  <c r="S56" i="11"/>
  <c r="D19" i="11" s="1"/>
  <c r="E19" i="11" s="1"/>
  <c r="S55" i="11"/>
  <c r="D18" i="11" s="1"/>
  <c r="E18" i="11" s="1"/>
  <c r="S54" i="11"/>
  <c r="D17" i="11"/>
  <c r="E17" i="11" s="1"/>
  <c r="S53" i="11"/>
  <c r="S52" i="11"/>
  <c r="D15" i="11" s="1"/>
  <c r="S49" i="11"/>
  <c r="I49" i="11"/>
  <c r="B12" i="11" s="1"/>
  <c r="G12" i="11" s="1"/>
  <c r="J39" i="9"/>
  <c r="D11" i="9"/>
  <c r="E11" i="9"/>
  <c r="K39" i="9"/>
  <c r="J40" i="9"/>
  <c r="D12" i="9" s="1"/>
  <c r="E12" i="9" s="1"/>
  <c r="K40" i="9"/>
  <c r="J41" i="9"/>
  <c r="D13" i="9"/>
  <c r="E13" i="9"/>
  <c r="K41" i="9"/>
  <c r="J42" i="9"/>
  <c r="D14" i="9" s="1"/>
  <c r="E14" i="9" s="1"/>
  <c r="K42" i="9"/>
  <c r="J43" i="9"/>
  <c r="D15" i="9"/>
  <c r="E15" i="9"/>
  <c r="K43" i="9"/>
  <c r="J44" i="9"/>
  <c r="D16" i="9" s="1"/>
  <c r="E16" i="9" s="1"/>
  <c r="K44" i="9"/>
  <c r="J45" i="9"/>
  <c r="K45" i="9"/>
  <c r="D17" i="9"/>
  <c r="E17" i="9" s="1"/>
  <c r="F17" i="9" s="1"/>
  <c r="J46" i="9"/>
  <c r="K46" i="9"/>
  <c r="D18" i="9"/>
  <c r="E18" i="9" s="1"/>
  <c r="F18" i="9" s="1"/>
  <c r="J47" i="9"/>
  <c r="D19" i="9" s="1"/>
  <c r="E19" i="9" s="1"/>
  <c r="K47" i="9"/>
  <c r="J39" i="8"/>
  <c r="F11" i="8"/>
  <c r="K39" i="8"/>
  <c r="J40" i="8"/>
  <c r="D12" i="8"/>
  <c r="E12" i="8" s="1"/>
  <c r="K40" i="8"/>
  <c r="J41" i="8"/>
  <c r="K41" i="8"/>
  <c r="D13" i="8" s="1"/>
  <c r="E13" i="8" s="1"/>
  <c r="F13" i="8" s="1"/>
  <c r="J42" i="8"/>
  <c r="D14" i="8" s="1"/>
  <c r="E14" i="8" s="1"/>
  <c r="K42" i="8"/>
  <c r="J43" i="8"/>
  <c r="D15" i="8" s="1"/>
  <c r="E15" i="8" s="1"/>
  <c r="K43" i="8"/>
  <c r="J44" i="8"/>
  <c r="D16" i="8" s="1"/>
  <c r="E16" i="8" s="1"/>
  <c r="F16" i="8" s="1"/>
  <c r="K44" i="8"/>
  <c r="J45" i="8"/>
  <c r="D17" i="8"/>
  <c r="E17" i="8" s="1"/>
  <c r="K45" i="8"/>
  <c r="J46" i="8"/>
  <c r="D18" i="8"/>
  <c r="E18" i="8" s="1"/>
  <c r="F18" i="8" s="1"/>
  <c r="K46" i="8"/>
  <c r="J47" i="8"/>
  <c r="K47" i="8"/>
  <c r="D19" i="8" s="1"/>
  <c r="E19" i="8" s="1"/>
  <c r="F19" i="8" s="1"/>
  <c r="J46" i="7"/>
  <c r="I38" i="7"/>
  <c r="E11" i="7"/>
  <c r="D23" i="7" s="1"/>
  <c r="J38" i="7"/>
  <c r="I39" i="7"/>
  <c r="E12" i="7" s="1"/>
  <c r="J39" i="7"/>
  <c r="I40" i="7"/>
  <c r="E13" i="7" s="1"/>
  <c r="J40" i="7"/>
  <c r="I41" i="7"/>
  <c r="E14" i="7" s="1"/>
  <c r="J41" i="7"/>
  <c r="I42" i="7"/>
  <c r="E15" i="7"/>
  <c r="J42" i="7"/>
  <c r="I43" i="7"/>
  <c r="E16" i="7"/>
  <c r="J43" i="7"/>
  <c r="I44" i="7"/>
  <c r="E17" i="7"/>
  <c r="J44" i="7"/>
  <c r="I45" i="7"/>
  <c r="E18" i="7"/>
  <c r="D30" i="7" s="1"/>
  <c r="J45" i="7"/>
  <c r="I46" i="7"/>
  <c r="E19" i="7"/>
  <c r="C31" i="7" s="1"/>
  <c r="J48" i="11"/>
  <c r="B11" i="11"/>
  <c r="J49" i="11"/>
  <c r="J50" i="11"/>
  <c r="I51" i="11"/>
  <c r="B14" i="11" s="1"/>
  <c r="G14" i="11" s="1"/>
  <c r="J51" i="11"/>
  <c r="J52" i="11"/>
  <c r="I53" i="11"/>
  <c r="J53" i="11"/>
  <c r="J56" i="11"/>
  <c r="J55" i="11"/>
  <c r="T48" i="11"/>
  <c r="D11" i="11"/>
  <c r="E11" i="11" s="1"/>
  <c r="F11" i="11"/>
  <c r="T49" i="11"/>
  <c r="T50" i="11"/>
  <c r="D13" i="11"/>
  <c r="E13" i="11" s="1"/>
  <c r="F13" i="11" s="1"/>
  <c r="T51" i="11"/>
  <c r="D14" i="11"/>
  <c r="E14" i="11" s="1"/>
  <c r="F14" i="11" s="1"/>
  <c r="T52" i="11"/>
  <c r="T53" i="11"/>
  <c r="D16" i="11"/>
  <c r="E16" i="11"/>
  <c r="F16" i="11" s="1"/>
  <c r="J54" i="11"/>
  <c r="T54" i="11"/>
  <c r="T55" i="11"/>
  <c r="T56" i="11"/>
  <c r="D12" i="11"/>
  <c r="E12" i="11" s="1"/>
  <c r="F12" i="11"/>
  <c r="B13" i="11"/>
  <c r="F22" i="11" s="1"/>
  <c r="F16" i="9"/>
  <c r="F14" i="9"/>
  <c r="F12" i="9"/>
  <c r="F12" i="8"/>
  <c r="F15" i="9"/>
  <c r="F13" i="9"/>
  <c r="F11" i="9"/>
  <c r="N42" i="15"/>
  <c r="N43" i="15"/>
  <c r="N44" i="15" s="1"/>
  <c r="H30" i="15"/>
  <c r="H42" i="15"/>
  <c r="I31" i="15"/>
  <c r="R31" i="15"/>
  <c r="D44" i="15"/>
  <c r="H44" i="15" s="1"/>
  <c r="H43" i="15"/>
  <c r="O6" i="15"/>
  <c r="F21" i="11"/>
  <c r="G11" i="11"/>
  <c r="D29" i="7"/>
  <c r="C29" i="7"/>
  <c r="C28" i="7"/>
  <c r="D28" i="7"/>
  <c r="C27" i="7"/>
  <c r="D27" i="7"/>
  <c r="C30" i="7"/>
  <c r="D11" i="8"/>
  <c r="E11" i="8"/>
  <c r="B16" i="11"/>
  <c r="B17" i="11"/>
  <c r="G17" i="11" s="1"/>
  <c r="F24" i="11"/>
  <c r="B15" i="11"/>
  <c r="F23" i="11" s="1"/>
  <c r="F25" i="11"/>
  <c r="G16" i="11"/>
  <c r="D26" i="7" l="1"/>
  <c r="C26" i="7"/>
  <c r="F17" i="8"/>
  <c r="K44" i="15"/>
  <c r="C25" i="7"/>
  <c r="D25" i="7"/>
  <c r="G19" i="11"/>
  <c r="F26" i="11"/>
  <c r="D24" i="7"/>
  <c r="C24" i="7"/>
  <c r="Q36" i="15"/>
  <c r="P36" i="15"/>
  <c r="E15" i="11"/>
  <c r="F15" i="11" s="1"/>
  <c r="G15" i="11" s="1"/>
  <c r="F17" i="11"/>
  <c r="C23" i="7"/>
  <c r="F19" i="9"/>
  <c r="F14" i="8"/>
  <c r="F18" i="11"/>
  <c r="L31" i="15"/>
  <c r="L33" i="15"/>
  <c r="O41" i="15"/>
  <c r="D31" i="7"/>
  <c r="I32" i="15"/>
  <c r="R32" i="15" s="1"/>
  <c r="O33" i="15"/>
  <c r="O44" i="15"/>
  <c r="O40" i="15"/>
  <c r="L34" i="15"/>
  <c r="G13" i="11"/>
  <c r="O39" i="15"/>
  <c r="F15" i="8"/>
  <c r="I30" i="15"/>
  <c r="R30" i="15" s="1"/>
  <c r="O38" i="15"/>
  <c r="O43" i="15"/>
  <c r="O42" i="15"/>
  <c r="O35" i="15"/>
  <c r="F19" i="11"/>
  <c r="I36" i="15"/>
  <c r="R36" i="15" s="1"/>
  <c r="O37" i="15"/>
  <c r="O34" i="15"/>
  <c r="D14" i="12"/>
  <c r="D18" i="12"/>
  <c r="D15" i="12"/>
  <c r="E11" i="12"/>
  <c r="D19" i="12"/>
  <c r="E17" i="12"/>
  <c r="E23" i="12"/>
  <c r="E11" i="17"/>
  <c r="C23" i="17" s="1"/>
  <c r="D23" i="17" s="1"/>
  <c r="D24" i="17"/>
  <c r="E13" i="12"/>
  <c r="E18" i="12"/>
  <c r="E12" i="12"/>
  <c r="E22" i="12"/>
  <c r="E14" i="12"/>
  <c r="E12" i="20"/>
  <c r="P34" i="15" l="1"/>
  <c r="Q34" i="15"/>
  <c r="I34" i="15" s="1"/>
  <c r="R34" i="15" s="1"/>
  <c r="P33" i="15"/>
  <c r="Q33" i="15"/>
  <c r="I33" i="15" s="1"/>
  <c r="R33" i="15" s="1"/>
  <c r="Q39" i="15"/>
  <c r="I39" i="15" s="1"/>
  <c r="R39" i="15" s="1"/>
  <c r="P39" i="15"/>
  <c r="Q37" i="15"/>
  <c r="I37" i="15" s="1"/>
  <c r="R37" i="15" s="1"/>
  <c r="P37" i="15"/>
  <c r="P35" i="15"/>
  <c r="Q35" i="15"/>
  <c r="I35" i="15" s="1"/>
  <c r="R35" i="15" s="1"/>
  <c r="Q41" i="15"/>
  <c r="I41" i="15" s="1"/>
  <c r="R41" i="15" s="1"/>
  <c r="P41" i="15"/>
  <c r="Q42" i="15"/>
  <c r="I42" i="15" s="1"/>
  <c r="R42" i="15" s="1"/>
  <c r="P42" i="15"/>
  <c r="Q43" i="15"/>
  <c r="I43" i="15" s="1"/>
  <c r="R43" i="15" s="1"/>
  <c r="P43" i="15"/>
  <c r="Q40" i="15"/>
  <c r="I40" i="15" s="1"/>
  <c r="R40" i="15" s="1"/>
  <c r="P40" i="15"/>
  <c r="P38" i="15"/>
  <c r="P6" i="15" s="1"/>
  <c r="Q38" i="15"/>
  <c r="P44" i="15"/>
  <c r="Q44" i="15"/>
  <c r="I44" i="15" s="1"/>
  <c r="R44" i="15" s="1"/>
  <c r="Q6" i="15" l="1"/>
  <c r="I38" i="15"/>
  <c r="R38" i="15" l="1"/>
  <c r="R6" i="15" s="1"/>
  <c r="I6" i="15"/>
</calcChain>
</file>

<file path=xl/sharedStrings.xml><?xml version="1.0" encoding="utf-8"?>
<sst xmlns="http://schemas.openxmlformats.org/spreadsheetml/2006/main" count="2076" uniqueCount="714">
  <si>
    <t>Type</t>
  </si>
  <si>
    <t>X</t>
  </si>
  <si>
    <t>Y</t>
  </si>
  <si>
    <t>Z</t>
  </si>
  <si>
    <t>Min</t>
  </si>
  <si>
    <t>Max</t>
  </si>
  <si>
    <t>Evaluering af Flow</t>
  </si>
  <si>
    <t>Evaluering af Dp</t>
  </si>
  <si>
    <t>Kvs</t>
  </si>
  <si>
    <t>Eingabe    Q =</t>
  </si>
  <si>
    <t>Eingabe</t>
  </si>
  <si>
    <t xml:space="preserve">ACHTUNG !!   BITTE HIER NICHT DATEN ÄNDERN </t>
  </si>
  <si>
    <t>DN15 5-30 kPa</t>
  </si>
  <si>
    <t>DN15 20-60 kPa</t>
  </si>
  <si>
    <t>DN20 5-30 kPa</t>
  </si>
  <si>
    <t>DN20 20-60 kPa</t>
  </si>
  <si>
    <t>DN25 5-30 kPa</t>
  </si>
  <si>
    <t>DN25 20-60 kPa</t>
  </si>
  <si>
    <t>DN32 20-80 kPa</t>
  </si>
  <si>
    <t>DN40 20-80 kPa</t>
  </si>
  <si>
    <t>DN50 20-80 kPa</t>
  </si>
  <si>
    <t>DN20 5-30kPa</t>
  </si>
  <si>
    <t>DN20 20-60kPa</t>
  </si>
  <si>
    <t xml:space="preserve">QUICK - CALC Frese PV  </t>
  </si>
  <si>
    <t>Dimension</t>
  </si>
  <si>
    <t>Input</t>
  </si>
  <si>
    <t>Number of turns</t>
  </si>
  <si>
    <t>∆Pv (kPa)</t>
  </si>
  <si>
    <t xml:space="preserve">Der Regelbereich ist definiert von Min. Pumpendruck (Min. ∆Pp) bis Max. Pumpendruck (Max.∆Pp) .   </t>
  </si>
  <si>
    <t>Min. ∆Pp (kPa)</t>
  </si>
  <si>
    <t>Input ∆Ps =</t>
  </si>
  <si>
    <t>50-600</t>
  </si>
  <si>
    <t>100-1200</t>
  </si>
  <si>
    <t>100-1000</t>
  </si>
  <si>
    <t>150-2000</t>
  </si>
  <si>
    <t>600-2500</t>
  </si>
  <si>
    <t>700-4000</t>
  </si>
  <si>
    <t>1000-5000</t>
  </si>
  <si>
    <t>3000-8000</t>
  </si>
  <si>
    <t>5000-15000</t>
  </si>
  <si>
    <t>5-400</t>
  </si>
  <si>
    <t>20-400</t>
  </si>
  <si>
    <t>Dim.</t>
  </si>
  <si>
    <t xml:space="preserve">DN15 </t>
  </si>
  <si>
    <t>5-30 kPa</t>
  </si>
  <si>
    <t>20-60 kPa</t>
  </si>
  <si>
    <t xml:space="preserve">DN20 </t>
  </si>
  <si>
    <t>5-30kPa</t>
  </si>
  <si>
    <t>DN20</t>
  </si>
  <si>
    <t>DN25</t>
  </si>
  <si>
    <t>DN32</t>
  </si>
  <si>
    <t>DN40</t>
  </si>
  <si>
    <t>DN50</t>
  </si>
  <si>
    <t>20-60kPa</t>
  </si>
  <si>
    <t>20-80 kPa</t>
  </si>
  <si>
    <t>Flow (l/h)</t>
  </si>
  <si>
    <t>Setting &amp; Selection program Frese PV Differential Pressure Control Valve</t>
  </si>
  <si>
    <t>Input    Q =</t>
  </si>
  <si>
    <t>(kPa) Differential Pessure setting</t>
  </si>
  <si>
    <t>(l/h) Design flow</t>
  </si>
  <si>
    <t>∆Ps range</t>
  </si>
  <si>
    <t>Range</t>
  </si>
  <si>
    <t>Range ∆Pp (kPa)</t>
  </si>
  <si>
    <t>Pre-set</t>
  </si>
  <si>
    <t>Calculation of pressure loss</t>
  </si>
  <si>
    <t xml:space="preserve">Range ∆Pp is defined from Min. Pump pressure (Min. ∆Pp) to Max. Pump pressure (Max.∆Pp) .   </t>
  </si>
  <si>
    <t>QUICK - CALC Frese S</t>
  </si>
  <si>
    <t>Setting &amp; Selection program Frese S Dynamic Balancing Valve</t>
  </si>
  <si>
    <t>Eingabe dP =</t>
  </si>
  <si>
    <t>(kPa) Differenzdruck am Ventil</t>
  </si>
  <si>
    <t>Input         Q =</t>
  </si>
  <si>
    <t>(l/h) Flow</t>
  </si>
  <si>
    <t>Calculation</t>
  </si>
  <si>
    <t>Kv</t>
  </si>
  <si>
    <t>Min. ∆P (kPa)</t>
  </si>
  <si>
    <t>DN15 LP</t>
  </si>
  <si>
    <t>25-804</t>
  </si>
  <si>
    <t>8-250</t>
  </si>
  <si>
    <t>DN15 HP</t>
  </si>
  <si>
    <t>40-1100</t>
  </si>
  <si>
    <t>16-400</t>
  </si>
  <si>
    <t>DN20 LP</t>
  </si>
  <si>
    <t>41-1265</t>
  </si>
  <si>
    <t>9-250</t>
  </si>
  <si>
    <t>DN20 HP</t>
  </si>
  <si>
    <t>66-1850</t>
  </si>
  <si>
    <t>12-400</t>
  </si>
  <si>
    <t>DN25 LP</t>
  </si>
  <si>
    <t>61-1663</t>
  </si>
  <si>
    <t>DN25 HP</t>
  </si>
  <si>
    <t>89-2350</t>
  </si>
  <si>
    <t xml:space="preserve">DN32 </t>
  </si>
  <si>
    <t>217-4800</t>
  </si>
  <si>
    <t>14-400</t>
  </si>
  <si>
    <t xml:space="preserve">DN40 </t>
  </si>
  <si>
    <t>175-7450</t>
  </si>
  <si>
    <t>15-400</t>
  </si>
  <si>
    <t xml:space="preserve">DN50 </t>
  </si>
  <si>
    <t>440-10350</t>
  </si>
  <si>
    <t>17-400</t>
  </si>
  <si>
    <t>QUICK - CALC Frese OPTIMA</t>
  </si>
  <si>
    <t>Setting &amp; Selection program Frese OPTIMA Pressure Independent Control Valve</t>
  </si>
  <si>
    <t>Range ∆Pp(kPa)</t>
  </si>
  <si>
    <t>DN15 LF</t>
  </si>
  <si>
    <t>78-625</t>
  </si>
  <si>
    <t>DN15 HF</t>
  </si>
  <si>
    <t>244-1724</t>
  </si>
  <si>
    <t>DN20 LF</t>
  </si>
  <si>
    <t>131-1050</t>
  </si>
  <si>
    <t>DN20 HF</t>
  </si>
  <si>
    <t>292-2039</t>
  </si>
  <si>
    <t>13-400</t>
  </si>
  <si>
    <t>DN25 LF</t>
  </si>
  <si>
    <t>231-1722</t>
  </si>
  <si>
    <t>DN25 HF</t>
  </si>
  <si>
    <t>465-3056</t>
  </si>
  <si>
    <t>2022-7105</t>
  </si>
  <si>
    <t>2204-8586</t>
  </si>
  <si>
    <t>19-400</t>
  </si>
  <si>
    <t>Auslegungsprogramm für Frese S Dynamischer Volumenstromregler</t>
  </si>
  <si>
    <t>Input Q =</t>
  </si>
  <si>
    <t>(l/h) Design flow in Zone</t>
  </si>
  <si>
    <t>(l/h) Auslegungsvolumenstrom</t>
  </si>
  <si>
    <t xml:space="preserve">(L/h)  Auslegungsvolumenstrom </t>
  </si>
  <si>
    <t>Pre-set Frese PV</t>
  </si>
  <si>
    <t>Pre-set Frese S</t>
  </si>
  <si>
    <t>Total Pressure loss</t>
  </si>
  <si>
    <t>Frese PV  ∆P - Controller</t>
  </si>
  <si>
    <t>Frese S   Flow Controller</t>
  </si>
  <si>
    <t>Frese PV&amp;S  ∆P &amp; Flow Controller</t>
  </si>
  <si>
    <t>Flow range (l/h)</t>
  </si>
  <si>
    <t>∆Pp range (kPa)</t>
  </si>
  <si>
    <t>∆Ps range (kPa)</t>
  </si>
  <si>
    <t>5-30</t>
  </si>
  <si>
    <t>20-80</t>
  </si>
  <si>
    <t>1000-4800</t>
  </si>
  <si>
    <t>38-400</t>
  </si>
  <si>
    <t>3000-7450</t>
  </si>
  <si>
    <t>5000-10350</t>
  </si>
  <si>
    <t>45-400</t>
  </si>
  <si>
    <t>PVS System</t>
  </si>
  <si>
    <t>DN32 HP</t>
  </si>
  <si>
    <t>DN40 HP</t>
  </si>
  <si>
    <t>DN50 HP</t>
  </si>
  <si>
    <t>DN15    5-30kPa</t>
  </si>
  <si>
    <t>14-250</t>
  </si>
  <si>
    <t>DN20    5-30 kPa</t>
  </si>
  <si>
    <t>DN25    5-30kPa</t>
  </si>
  <si>
    <t>600-1663</t>
  </si>
  <si>
    <t>17-250</t>
  </si>
  <si>
    <t>DN32    20-80kPa</t>
  </si>
  <si>
    <t>DN40    20-80kPa</t>
  </si>
  <si>
    <t>DN50    20-80kPa</t>
  </si>
  <si>
    <t>57-400</t>
  </si>
  <si>
    <t>(kPa) Differential pressure setting</t>
  </si>
  <si>
    <t>Frese PV (Return)</t>
  </si>
  <si>
    <t>Frese S  (Supply)</t>
  </si>
  <si>
    <t>Dim.     ∆Ps Rang.</t>
  </si>
  <si>
    <t>DN15    20-60kPa</t>
  </si>
  <si>
    <t>DN20    20-60kPa</t>
  </si>
  <si>
    <t>DN25    20-60kPa</t>
  </si>
  <si>
    <t>37-400</t>
  </si>
  <si>
    <t>33-400</t>
  </si>
  <si>
    <t>100-1100</t>
  </si>
  <si>
    <t>150-1850</t>
  </si>
  <si>
    <t>700-2350</t>
  </si>
  <si>
    <t>20-60</t>
  </si>
  <si>
    <t xml:space="preserve">  Selection program Frese PVS Differential Pressure &amp; Dynamic Flow Control</t>
  </si>
  <si>
    <t xml:space="preserve">QUICK - CALC Frese PVS </t>
  </si>
  <si>
    <t>QUICK - CALC Frese OPTIMA Compact</t>
  </si>
  <si>
    <t>DN10 Low 2,5</t>
  </si>
  <si>
    <t>DN10 Low 5,0</t>
  </si>
  <si>
    <t>DN15 Low 2,5</t>
  </si>
  <si>
    <t>DN15 Low 5,0</t>
  </si>
  <si>
    <t>DN15 High 2,5</t>
  </si>
  <si>
    <t>DN20 High 2,5</t>
  </si>
  <si>
    <t>DN20 High 4,0</t>
  </si>
  <si>
    <t>DN20 High 5,0</t>
  </si>
  <si>
    <t xml:space="preserve">Range ∆Pp is defined from Min. Pump pressure (Min. ∆Pp) to Max. Pump pressure (Max.∆Pp) .    </t>
  </si>
  <si>
    <t>Setting &amp; Selection program Frese OPTIMA Compact Pressure Independent Control Valve</t>
  </si>
  <si>
    <t>49-44262</t>
  </si>
  <si>
    <t>50-44262</t>
  </si>
  <si>
    <t>49-44250</t>
  </si>
  <si>
    <t>50-44250</t>
  </si>
  <si>
    <t>49-44248</t>
  </si>
  <si>
    <t>50-44248</t>
  </si>
  <si>
    <t>49-44241</t>
  </si>
  <si>
    <t>50-44241</t>
  </si>
  <si>
    <t>49-44235</t>
  </si>
  <si>
    <t>50-44235</t>
  </si>
  <si>
    <t>49-44229</t>
  </si>
  <si>
    <t>50-44229</t>
  </si>
  <si>
    <t>49-44222</t>
  </si>
  <si>
    <t>50-44222</t>
  </si>
  <si>
    <t>49-21090</t>
  </si>
  <si>
    <t>50-21090</t>
  </si>
  <si>
    <t>49-44217</t>
  </si>
  <si>
    <t>50-44217</t>
  </si>
  <si>
    <t>49-21060</t>
  </si>
  <si>
    <t>50-21060</t>
  </si>
  <si>
    <t>49-44211</t>
  </si>
  <si>
    <t>50-44211</t>
  </si>
  <si>
    <t>49-21030</t>
  </si>
  <si>
    <t>50-21030</t>
  </si>
  <si>
    <t>49-44205</t>
  </si>
  <si>
    <t>50-44205</t>
  </si>
  <si>
    <t>49-20990</t>
  </si>
  <si>
    <t>50-20990</t>
  </si>
  <si>
    <t>49-44200</t>
  </si>
  <si>
    <t>50-44200</t>
  </si>
  <si>
    <t>49-20940</t>
  </si>
  <si>
    <t>50-20940</t>
  </si>
  <si>
    <t>49-44194</t>
  </si>
  <si>
    <t>50-44194</t>
  </si>
  <si>
    <t>49-20920</t>
  </si>
  <si>
    <t>50-20920</t>
  </si>
  <si>
    <t>49-44191</t>
  </si>
  <si>
    <t>50-44191</t>
  </si>
  <si>
    <t>49-20880</t>
  </si>
  <si>
    <t>50-20880</t>
  </si>
  <si>
    <t>49-44182</t>
  </si>
  <si>
    <t>50-44182</t>
  </si>
  <si>
    <t>49-20860</t>
  </si>
  <si>
    <t>50-20860</t>
  </si>
  <si>
    <t>49-44176</t>
  </si>
  <si>
    <t>50-44176</t>
  </si>
  <si>
    <t>49-20820</t>
  </si>
  <si>
    <t>50-20820</t>
  </si>
  <si>
    <t>49-44173</t>
  </si>
  <si>
    <t>50-44173</t>
  </si>
  <si>
    <t>49-20770</t>
  </si>
  <si>
    <t>50-20770</t>
  </si>
  <si>
    <t>49-44168</t>
  </si>
  <si>
    <t>50-44168</t>
  </si>
  <si>
    <t>49-20740</t>
  </si>
  <si>
    <t>50-20740</t>
  </si>
  <si>
    <t>49-44164</t>
  </si>
  <si>
    <t>50-44164</t>
  </si>
  <si>
    <t>49-20700</t>
  </si>
  <si>
    <t>50-20700</t>
  </si>
  <si>
    <t>49-44156</t>
  </si>
  <si>
    <t>50-44156</t>
  </si>
  <si>
    <t>49-11750</t>
  </si>
  <si>
    <t>50-11750</t>
  </si>
  <si>
    <t>49-44152</t>
  </si>
  <si>
    <t>50-44152</t>
  </si>
  <si>
    <t>49-11745</t>
  </si>
  <si>
    <t>50-11745</t>
  </si>
  <si>
    <t>49-44148</t>
  </si>
  <si>
    <t>50-44148</t>
  </si>
  <si>
    <t>49-11740</t>
  </si>
  <si>
    <t>50-11740</t>
  </si>
  <si>
    <t>49-33163</t>
  </si>
  <si>
    <t>50-33163</t>
  </si>
  <si>
    <t>49-11735</t>
  </si>
  <si>
    <t>50-11735</t>
  </si>
  <si>
    <t>49-33161</t>
  </si>
  <si>
    <t>50-33161</t>
  </si>
  <si>
    <t>49-11730</t>
  </si>
  <si>
    <t>50-11730</t>
  </si>
  <si>
    <t>49-33156</t>
  </si>
  <si>
    <t>50-33156</t>
  </si>
  <si>
    <t>49-11725</t>
  </si>
  <si>
    <t>50-11725</t>
  </si>
  <si>
    <t>49-33148</t>
  </si>
  <si>
    <t>50-33148</t>
  </si>
  <si>
    <t>49-11620</t>
  </si>
  <si>
    <t>50-11620</t>
  </si>
  <si>
    <t>49-33142</t>
  </si>
  <si>
    <t>50-33142</t>
  </si>
  <si>
    <t>49-11570</t>
  </si>
  <si>
    <t>50-11570</t>
  </si>
  <si>
    <t>49-33138</t>
  </si>
  <si>
    <t>50-33138</t>
  </si>
  <si>
    <t>49-11540</t>
  </si>
  <si>
    <t>50-11540</t>
  </si>
  <si>
    <t>49-33135</t>
  </si>
  <si>
    <t>50-33135</t>
  </si>
  <si>
    <t>49-11510</t>
  </si>
  <si>
    <t>50-11510</t>
  </si>
  <si>
    <t>49-33132</t>
  </si>
  <si>
    <t>50-33132</t>
  </si>
  <si>
    <t>49-11490</t>
  </si>
  <si>
    <t>50-11490</t>
  </si>
  <si>
    <t>49-33129</t>
  </si>
  <si>
    <t>50-33129</t>
  </si>
  <si>
    <t>49-11460</t>
  </si>
  <si>
    <t>50-11460</t>
  </si>
  <si>
    <t>49-33125</t>
  </si>
  <si>
    <t>50-33125</t>
  </si>
  <si>
    <t>49-11430</t>
  </si>
  <si>
    <t>50-11430</t>
  </si>
  <si>
    <t>49-33124</t>
  </si>
  <si>
    <t>50-33124</t>
  </si>
  <si>
    <t>49-11400</t>
  </si>
  <si>
    <t>50-11400</t>
  </si>
  <si>
    <t>49-33118</t>
  </si>
  <si>
    <t>50-33118</t>
  </si>
  <si>
    <t>49-11370</t>
  </si>
  <si>
    <t>50-11370</t>
  </si>
  <si>
    <t>49-33112</t>
  </si>
  <si>
    <t>50-33112</t>
  </si>
  <si>
    <t>49-11350</t>
  </si>
  <si>
    <t>50-11350</t>
  </si>
  <si>
    <t>49-33111</t>
  </si>
  <si>
    <t>50-33111</t>
  </si>
  <si>
    <t>49-11320</t>
  </si>
  <si>
    <t>50-11320</t>
  </si>
  <si>
    <t>49-33107</t>
  </si>
  <si>
    <t>50-33107</t>
  </si>
  <si>
    <t>49-11300</t>
  </si>
  <si>
    <t>50-11300</t>
  </si>
  <si>
    <t>49-33102</t>
  </si>
  <si>
    <t>50-33102</t>
  </si>
  <si>
    <t>49-11290</t>
  </si>
  <si>
    <t>50-11290</t>
  </si>
  <si>
    <t>49-33098</t>
  </si>
  <si>
    <t>50-33098</t>
  </si>
  <si>
    <t>49-11260</t>
  </si>
  <si>
    <t>50-11260</t>
  </si>
  <si>
    <t>49-33096</t>
  </si>
  <si>
    <t>50-33096</t>
  </si>
  <si>
    <t>49-11230</t>
  </si>
  <si>
    <t>50-11230</t>
  </si>
  <si>
    <t>49-33094</t>
  </si>
  <si>
    <t>50-33094</t>
  </si>
  <si>
    <t>49-11210</t>
  </si>
  <si>
    <t>50-11210</t>
  </si>
  <si>
    <t>49-33089</t>
  </si>
  <si>
    <t>50-33089</t>
  </si>
  <si>
    <t>N/A</t>
  </si>
  <si>
    <t>50-11190</t>
  </si>
  <si>
    <t>49-33082</t>
  </si>
  <si>
    <t>50-33082</t>
  </si>
  <si>
    <t>50-11170</t>
  </si>
  <si>
    <t>49-33073</t>
  </si>
  <si>
    <t>50-33073</t>
  </si>
  <si>
    <t>50-11150</t>
  </si>
  <si>
    <t>HP</t>
  </si>
  <si>
    <t>LP</t>
  </si>
  <si>
    <t>DP</t>
  </si>
  <si>
    <t>Der Regelbereich = S ….</t>
  </si>
  <si>
    <t>Vare nr.</t>
  </si>
  <si>
    <t>L/h</t>
  </si>
  <si>
    <t>Grosser</t>
  </si>
  <si>
    <t>Kleiner</t>
  </si>
  <si>
    <t>Gehäuse sind mit Stopfen, Druckmessnippel oder Füll- und Entleerungskugelhahn</t>
  </si>
  <si>
    <t>DN25L-DN50</t>
  </si>
  <si>
    <t>DN15-DN25</t>
  </si>
  <si>
    <t>49-9061</t>
  </si>
  <si>
    <t>49-9064</t>
  </si>
  <si>
    <t>49-9066</t>
  </si>
  <si>
    <t>674-11355</t>
  </si>
  <si>
    <t>49-9051</t>
  </si>
  <si>
    <t>49-9054</t>
  </si>
  <si>
    <t>49-9056</t>
  </si>
  <si>
    <t>49-9041</t>
  </si>
  <si>
    <t>49-9044</t>
  </si>
  <si>
    <t>49-9046</t>
  </si>
  <si>
    <t>49-9031</t>
  </si>
  <si>
    <t>49-9034</t>
  </si>
  <si>
    <t>49-9036</t>
  </si>
  <si>
    <t>25L</t>
  </si>
  <si>
    <t>49-9021</t>
  </si>
  <si>
    <t>49-9024</t>
  </si>
  <si>
    <t>49-9026</t>
  </si>
  <si>
    <t>25-2448</t>
  </si>
  <si>
    <t>49-9011</t>
  </si>
  <si>
    <t>49-9014</t>
  </si>
  <si>
    <t>49-9016</t>
  </si>
  <si>
    <t>49-9001</t>
  </si>
  <si>
    <t>49-9004</t>
  </si>
  <si>
    <t>49-9006</t>
  </si>
  <si>
    <t>IG/IG</t>
  </si>
  <si>
    <t>bis 6,0 bar</t>
  </si>
  <si>
    <t>bis 3,5 bar</t>
  </si>
  <si>
    <t>kPa</t>
  </si>
  <si>
    <t>DN</t>
  </si>
  <si>
    <t>Alpha DM</t>
  </si>
  <si>
    <t>Alpha FE</t>
  </si>
  <si>
    <t>Alpha S</t>
  </si>
  <si>
    <t>HP-Einsatz</t>
  </si>
  <si>
    <t>LP-Einsatz</t>
  </si>
  <si>
    <t>Strom</t>
  </si>
  <si>
    <t xml:space="preserve">Bereich </t>
  </si>
  <si>
    <t>Art.-Nr.</t>
  </si>
  <si>
    <t xml:space="preserve">Min. ΔP </t>
  </si>
  <si>
    <t>Vol.-</t>
  </si>
  <si>
    <t>Ventil</t>
  </si>
  <si>
    <t>Alpha Ventilgehäuse Modell</t>
  </si>
  <si>
    <t>Berechnung nächst größer Volumenstrom</t>
  </si>
  <si>
    <t>Berechnung nächst kleiner Volumenstrom</t>
  </si>
  <si>
    <t>Alpha Regler</t>
  </si>
  <si>
    <t>l/h</t>
  </si>
  <si>
    <t>Flow</t>
  </si>
  <si>
    <t>ALPHA</t>
  </si>
  <si>
    <t>12-600</t>
  </si>
  <si>
    <t xml:space="preserve">7-600 </t>
  </si>
  <si>
    <t>HP High Press.</t>
  </si>
  <si>
    <t>12-350</t>
  </si>
  <si>
    <t xml:space="preserve">7-350 </t>
  </si>
  <si>
    <t>LP Low Press.</t>
  </si>
  <si>
    <t>DN25L-50</t>
  </si>
  <si>
    <t>DN15-25</t>
  </si>
  <si>
    <t>Quick - CALC Frese ALPHA</t>
  </si>
  <si>
    <t xml:space="preserve">EVA Basic </t>
  </si>
  <si>
    <t xml:space="preserve">EVA </t>
  </si>
  <si>
    <t>Geh+Ein</t>
  </si>
  <si>
    <t>Geh.+Eins.</t>
  </si>
  <si>
    <t>Min DP To</t>
  </si>
  <si>
    <t>48-5806</t>
  </si>
  <si>
    <t>EVA Basic</t>
  </si>
  <si>
    <t>48-5802</t>
  </si>
  <si>
    <t>48-5805</t>
  </si>
  <si>
    <t>48-5801</t>
  </si>
  <si>
    <t>48-5804</t>
  </si>
  <si>
    <t>48-5800</t>
  </si>
  <si>
    <t>48-5803</t>
  </si>
  <si>
    <t>EVA DM</t>
  </si>
  <si>
    <t>EVA S</t>
  </si>
  <si>
    <t>Ges. Ventil</t>
  </si>
  <si>
    <t>Einsatz</t>
  </si>
  <si>
    <t>EVA Ventilgehäuse</t>
  </si>
  <si>
    <t>48-5518</t>
  </si>
  <si>
    <t>230 V On/Off</t>
  </si>
  <si>
    <t>48-5515</t>
  </si>
  <si>
    <t>24 V On/Off</t>
  </si>
  <si>
    <t>Min. ΔP kPa</t>
  </si>
  <si>
    <t>Quick - CALC Frese EVA</t>
  </si>
  <si>
    <t>QUICK - CALC Frese ALPHA Flange</t>
  </si>
  <si>
    <t>m³/h Flow</t>
  </si>
  <si>
    <t>m³/h</t>
  </si>
  <si>
    <t>AISI 304</t>
  </si>
  <si>
    <t>Berechnungen  Nächst kleiner Volumenstrom :</t>
  </si>
  <si>
    <t>Berechnungen  Nächst größer Volumenstrom :</t>
  </si>
  <si>
    <t>Vol.-Ber.</t>
  </si>
  <si>
    <t>Anzahl</t>
  </si>
  <si>
    <t>Vol.-Str</t>
  </si>
  <si>
    <t xml:space="preserve">Min ΔP </t>
  </si>
  <si>
    <t>Vol.-Strom</t>
  </si>
  <si>
    <t>Ist/Soll</t>
  </si>
  <si>
    <t>Anz</t>
  </si>
  <si>
    <t>Rest</t>
  </si>
  <si>
    <t>Einsätze</t>
  </si>
  <si>
    <t>Abw.</t>
  </si>
  <si>
    <t>Eins</t>
  </si>
  <si>
    <t>Regler Komplett</t>
  </si>
  <si>
    <t xml:space="preserve">   Regler Komplett</t>
  </si>
  <si>
    <t>Eins.</t>
  </si>
  <si>
    <t>3,8 - 45,0</t>
  </si>
  <si>
    <t>3,8 - 90,0</t>
  </si>
  <si>
    <t>3,8 - 135,0</t>
  </si>
  <si>
    <t>3,8 - 180,0</t>
  </si>
  <si>
    <t>3,8 - 315,0</t>
  </si>
  <si>
    <t>3,8 - 540,0</t>
  </si>
  <si>
    <t>3,8 - 675,0</t>
  </si>
  <si>
    <t>3,8 - 855,0</t>
  </si>
  <si>
    <t>3,8 - 1.170,0</t>
  </si>
  <si>
    <t>3,8 - 1.485,0</t>
  </si>
  <si>
    <t>3,8 - 1.800,0</t>
  </si>
  <si>
    <t>3,8 - 2.520,0</t>
  </si>
  <si>
    <t>3,8 - 3.825,0</t>
  </si>
  <si>
    <t>'=((SVERWEIS(($D$5/$C17);$D$40:$F$84;1)*C17))</t>
  </si>
  <si>
    <t>Flow &gt;</t>
  </si>
  <si>
    <t>=((SVERWEIS(($D$5/$C22);$C$38:$I$81;1)*(C22-1)))</t>
  </si>
  <si>
    <t>'=WENN($D$5/$C23&lt;3,8;SVERWEIS(($D$5/$C22);$D$40:$F$84;1);SVERWEIS(($D$5/$C23);$D$40:$F$84;1))</t>
  </si>
  <si>
    <t>Korrektion til slut :</t>
  </si>
  <si>
    <t>'=WENN($D$5/$C24&lt;3,8;D23;SVERWEIS(($D$5/$C24);$D$40:$F$84;1))</t>
  </si>
  <si>
    <t>Spalte D:H Min el slettes</t>
  </si>
  <si>
    <t>DN50-DN800</t>
  </si>
  <si>
    <t>WENN(Prüfung;Dann_Wert; WENN(Prüfung;Dann_Wert;Sonst_Wert))</t>
  </si>
  <si>
    <t>SVERWEIS(Suchkriterium;Matrix;Spalteindex;Bereich_Verweis)</t>
  </si>
  <si>
    <t>D</t>
  </si>
  <si>
    <t>52-55179</t>
  </si>
  <si>
    <t>E</t>
  </si>
  <si>
    <t>'=SVERWEIS(($D$5/$C17);$D$40:$F$84;2)</t>
  </si>
  <si>
    <t>52-55184</t>
  </si>
  <si>
    <t>F</t>
  </si>
  <si>
    <t>'=SVERWEIS(($D$5/$C17);$D$40:$F$84;3)</t>
  </si>
  <si>
    <t>52-55189</t>
  </si>
  <si>
    <t>G</t>
  </si>
  <si>
    <t>'=SVERWEIS(($D$5/$C17);$D$40:$F$84;1)</t>
  </si>
  <si>
    <t>52-55194</t>
  </si>
  <si>
    <t>52-55200</t>
  </si>
  <si>
    <t>52-55206</t>
  </si>
  <si>
    <t>WENN(O23&lt;0;</t>
  </si>
  <si>
    <t>52-55213</t>
  </si>
  <si>
    <t>52-55220</t>
  </si>
  <si>
    <t>52-55227</t>
  </si>
  <si>
    <t>Art.-Nr. Gehäuse</t>
  </si>
  <si>
    <t>52-55235</t>
  </si>
  <si>
    <t xml:space="preserve">       49-9073-01</t>
  </si>
  <si>
    <t>52-55243</t>
  </si>
  <si>
    <t xml:space="preserve">       49-9083-01</t>
  </si>
  <si>
    <t>52-55251</t>
  </si>
  <si>
    <t xml:space="preserve">       49-9093-01</t>
  </si>
  <si>
    <t>52-55260</t>
  </si>
  <si>
    <t xml:space="preserve">       49-9103-01</t>
  </si>
  <si>
    <t>52-55269</t>
  </si>
  <si>
    <t xml:space="preserve">       49-9163-01</t>
  </si>
  <si>
    <t>52-55279</t>
  </si>
  <si>
    <t xml:space="preserve">       49-9113-01</t>
  </si>
  <si>
    <t>52-55287</t>
  </si>
  <si>
    <t xml:space="preserve">       49-9123-01</t>
  </si>
  <si>
    <t>52-55292</t>
  </si>
  <si>
    <t xml:space="preserve">       49-9133-01</t>
  </si>
  <si>
    <t>52-55298</t>
  </si>
  <si>
    <t xml:space="preserve">       49-9143-01</t>
  </si>
  <si>
    <t>52-55303</t>
  </si>
  <si>
    <t xml:space="preserve">       49-9153-01</t>
  </si>
  <si>
    <t>52-55308</t>
  </si>
  <si>
    <t xml:space="preserve">       49-9173-01</t>
  </si>
  <si>
    <t>52-66285</t>
  </si>
  <si>
    <t xml:space="preserve">       49-9183-01</t>
  </si>
  <si>
    <t>52-66292</t>
  </si>
  <si>
    <t xml:space="preserve">       49-9193-01</t>
  </si>
  <si>
    <t>52-66301</t>
  </si>
  <si>
    <t xml:space="preserve">       49-9203-01</t>
  </si>
  <si>
    <t>52-66305</t>
  </si>
  <si>
    <t xml:space="preserve">       49-9213-01</t>
  </si>
  <si>
    <t>52-66312</t>
  </si>
  <si>
    <t>52-66319</t>
  </si>
  <si>
    <t>52-66326</t>
  </si>
  <si>
    <t>52-66332</t>
  </si>
  <si>
    <t>52-66338</t>
  </si>
  <si>
    <t>52-66344</t>
  </si>
  <si>
    <t>52-66349</t>
  </si>
  <si>
    <t>52-66356</t>
  </si>
  <si>
    <t>52-66362</t>
  </si>
  <si>
    <t>52-66367</t>
  </si>
  <si>
    <t>52-66373</t>
  </si>
  <si>
    <t>52-66379</t>
  </si>
  <si>
    <t>52-66385</t>
  </si>
  <si>
    <t>52-66391</t>
  </si>
  <si>
    <t>52-66393</t>
  </si>
  <si>
    <t>52-66398</t>
  </si>
  <si>
    <t>52-66400</t>
  </si>
  <si>
    <t>52-66407</t>
  </si>
  <si>
    <t>52-66407H</t>
  </si>
  <si>
    <t>Selection program Frese ALPHA Dynamic Balancing Valve</t>
  </si>
  <si>
    <t>with selected Valve dimension (DN)</t>
  </si>
  <si>
    <t>Item no.</t>
  </si>
  <si>
    <t>Deviation</t>
  </si>
  <si>
    <t>Nearest higher Flow</t>
  </si>
  <si>
    <t>Nearest lower Flow</t>
  </si>
  <si>
    <t>Plugs</t>
  </si>
  <si>
    <t>ΔP range (kPa)</t>
  </si>
  <si>
    <t>Input DN =</t>
  </si>
  <si>
    <t>ALPHA Valve</t>
  </si>
  <si>
    <t>Valve</t>
  </si>
  <si>
    <t>range</t>
  </si>
  <si>
    <t>Selection program Frese ALPHA Wafer Dynamic Balancing Valve</t>
  </si>
  <si>
    <t>Cartridge Type HP (High Pressure)</t>
  </si>
  <si>
    <t>ΔP range:  13 - 600 kPa</t>
  </si>
  <si>
    <t>Dimension Valve house DN</t>
  </si>
  <si>
    <t>Item no. Valve house</t>
  </si>
  <si>
    <t>Qty</t>
  </si>
  <si>
    <t>CARTRIDGE SELECTION</t>
  </si>
  <si>
    <t>Cartriges</t>
  </si>
  <si>
    <t>Cartridges</t>
  </si>
  <si>
    <t>Selection program Frese EVA Dynamic Balancing &amp; Control Valve On/Off</t>
  </si>
  <si>
    <t>Dimension Valve house DN ; Kvs = 3,0</t>
  </si>
  <si>
    <t>EVA F/F</t>
  </si>
  <si>
    <t>Frese EVA with Plugs</t>
  </si>
  <si>
    <t>Frese EVA with P/T plugs</t>
  </si>
  <si>
    <t>Male/Male</t>
  </si>
  <si>
    <t>Actuator (NC)</t>
  </si>
  <si>
    <t>Cartridge</t>
  </si>
  <si>
    <t>total valve</t>
  </si>
  <si>
    <t>Drain Valve</t>
  </si>
  <si>
    <t>P/T-Plugs</t>
  </si>
  <si>
    <t>30-200</t>
  </si>
  <si>
    <t>65-370</t>
  </si>
  <si>
    <t>100-575</t>
  </si>
  <si>
    <t>160-990</t>
  </si>
  <si>
    <t>220-1330</t>
  </si>
  <si>
    <t>DN50 Low Flow</t>
  </si>
  <si>
    <t>DN50 High Flow</t>
  </si>
  <si>
    <t>DN65 Low Flow</t>
  </si>
  <si>
    <t>DN65 High Flow</t>
  </si>
  <si>
    <t>DN80 Low Flow</t>
  </si>
  <si>
    <t>DN80 High Flow</t>
  </si>
  <si>
    <t>QUICK - CALC Frese OPTIMA Flanged</t>
  </si>
  <si>
    <t>Setting &amp; Selection program Frese OPTIMA Flanged Pressure Independent Control Valve</t>
  </si>
  <si>
    <t>(m3/h) Flow</t>
  </si>
  <si>
    <t>Flow (m3/h)</t>
  </si>
  <si>
    <t>5-450</t>
  </si>
  <si>
    <t>20-450</t>
  </si>
  <si>
    <t>QUICK - CALC Frese PV Compact</t>
  </si>
  <si>
    <t>Setting &amp; Selection program PV Compact Differential Pressure Control Valve</t>
  </si>
  <si>
    <t>600-3609</t>
  </si>
  <si>
    <t>550-4001</t>
  </si>
  <si>
    <t>DN15 High 5,0</t>
  </si>
  <si>
    <t>QUICK - CALC Frese OPTIMIZER</t>
  </si>
  <si>
    <t>Control unit 4-pipe Heating/Cooling Systems</t>
  </si>
  <si>
    <t>Input dP =</t>
  </si>
  <si>
    <t>Flow cooling</t>
  </si>
  <si>
    <t>Flow heating</t>
  </si>
  <si>
    <t>(kPa) Differential pressure across valve</t>
  </si>
  <si>
    <t>Flow l/h</t>
  </si>
  <si>
    <t>Calculation cooling</t>
  </si>
  <si>
    <t>Calculation heating</t>
  </si>
  <si>
    <t>1370-9500</t>
  </si>
  <si>
    <t>1400-11500</t>
  </si>
  <si>
    <t>10-400</t>
  </si>
  <si>
    <t>DN100 Low Flow</t>
  </si>
  <si>
    <t>DN100 High Flow</t>
  </si>
  <si>
    <t>DN25 20-80 kPa</t>
  </si>
  <si>
    <t>750-4200</t>
  </si>
  <si>
    <t>DN125 Low Flow</t>
  </si>
  <si>
    <t>DN125 High Flow</t>
  </si>
  <si>
    <t>18.5-110.0</t>
  </si>
  <si>
    <t>23.0-135.0</t>
  </si>
  <si>
    <t>60-1080</t>
  </si>
  <si>
    <t>102-1930</t>
  </si>
  <si>
    <t>719-7400</t>
  </si>
  <si>
    <t>900-10350</t>
  </si>
  <si>
    <t>DN150 Low Flow</t>
  </si>
  <si>
    <t>25.6-148.0</t>
  </si>
  <si>
    <t>DN150 High Flow</t>
  </si>
  <si>
    <t>32.0-195.0</t>
  </si>
  <si>
    <t>40-900</t>
  </si>
  <si>
    <t>86-1550</t>
  </si>
  <si>
    <t>200-5000</t>
  </si>
  <si>
    <t>QUICK - CALC Frese SIGMA Compact</t>
  </si>
  <si>
    <t>Setting &amp; Selection program Frese SIGMA Compact Dynamic Balancing Valve</t>
  </si>
  <si>
    <t>9-400</t>
  </si>
  <si>
    <t>DN15 Low</t>
  </si>
  <si>
    <t>DN15 High</t>
  </si>
  <si>
    <t>DN20 Low</t>
  </si>
  <si>
    <t>DN20 High</t>
  </si>
  <si>
    <t>5000-11500</t>
  </si>
  <si>
    <t>DN20 High 5,5</t>
  </si>
  <si>
    <t>DN25 Low 5,5</t>
  </si>
  <si>
    <t>DN25L High 5,5</t>
  </si>
  <si>
    <t>300-1800</t>
  </si>
  <si>
    <t>280-1800</t>
  </si>
  <si>
    <t xml:space="preserve">DN25L 5,5 High </t>
  </si>
  <si>
    <t>DN25 Low</t>
  </si>
  <si>
    <t>DN25 High</t>
  </si>
  <si>
    <t>137-2400</t>
  </si>
  <si>
    <t>600-2100</t>
  </si>
  <si>
    <t>PV-SIGMA System</t>
  </si>
  <si>
    <t>∆P-PV (kPa)</t>
  </si>
  <si>
    <t>7-450</t>
  </si>
  <si>
    <t>22-450</t>
  </si>
  <si>
    <t>22-400</t>
  </si>
  <si>
    <t>DN20    20-60 kPa</t>
  </si>
  <si>
    <t>150-1930</t>
  </si>
  <si>
    <t>DN25    20-80kPa</t>
  </si>
  <si>
    <t>750-2400</t>
  </si>
  <si>
    <t>3000-7400</t>
  </si>
  <si>
    <t>X (min Kpa)</t>
  </si>
  <si>
    <t>Y (Flow/Omdr)</t>
  </si>
  <si>
    <t>Z (Omdr/kpa)</t>
  </si>
  <si>
    <t>QUICK - CALC Frese PV-SIGMA Compact</t>
  </si>
  <si>
    <t xml:space="preserve">  Selection program Frese PV-SIGMA Compact Differential Pressure &amp; Dynamic Flow Control</t>
  </si>
  <si>
    <t>PV Compact (Return)</t>
  </si>
  <si>
    <t>Pre-set PV Compact</t>
  </si>
  <si>
    <t>SIGMA Compact  (Supply)</t>
  </si>
  <si>
    <t>Pre-set SIGMA Compact</t>
  </si>
  <si>
    <t>Total pressure loss</t>
  </si>
  <si>
    <t>Dim.    ∆Ps Range</t>
  </si>
  <si>
    <t>PV Compact  ∆P - Controller</t>
  </si>
  <si>
    <t>SIGMA Compact Flow Controller</t>
  </si>
  <si>
    <t>PV-SIGMA Compact System ∆P &amp; Flow controller</t>
  </si>
  <si>
    <t>(kPa) Differential pressure in system</t>
  </si>
  <si>
    <t>(l/h) Design flow in system</t>
  </si>
  <si>
    <t>DN200 Low Flow</t>
  </si>
  <si>
    <t>DN200 High Flow</t>
  </si>
  <si>
    <t>7-800</t>
  </si>
  <si>
    <t>19-800</t>
  </si>
  <si>
    <t>15-800</t>
  </si>
  <si>
    <t>30-800</t>
  </si>
  <si>
    <t>16-800</t>
  </si>
  <si>
    <t>23-800</t>
  </si>
  <si>
    <t>20-800</t>
  </si>
  <si>
    <t>27-800</t>
  </si>
  <si>
    <t>21-800</t>
  </si>
  <si>
    <t>33-800</t>
  </si>
  <si>
    <t>31-800</t>
  </si>
  <si>
    <t>11-800</t>
  </si>
  <si>
    <t>14-800</t>
  </si>
  <si>
    <t>18-800</t>
  </si>
  <si>
    <t>17-800</t>
  </si>
  <si>
    <t>10-800</t>
  </si>
  <si>
    <t>DN250 Low Flow</t>
  </si>
  <si>
    <t>DN250 High Flow</t>
  </si>
  <si>
    <t>DN300 Low Flow</t>
  </si>
  <si>
    <t>DN300 High Flow</t>
  </si>
  <si>
    <t>95.0-210.0</t>
  </si>
  <si>
    <t>130.0-280.0</t>
  </si>
  <si>
    <t>190.0-475.0</t>
  </si>
  <si>
    <t>245.0-600.0</t>
  </si>
  <si>
    <t>2.48-15.00</t>
  </si>
  <si>
    <t>3.92-24.00</t>
  </si>
  <si>
    <t>4.38-25.00</t>
  </si>
  <si>
    <t>5.95-35.00</t>
  </si>
  <si>
    <t>5.34-34.00</t>
  </si>
  <si>
    <t>7.02-43.00</t>
  </si>
  <si>
    <t>12.10-68.00</t>
  </si>
  <si>
    <t>14.80-90.00</t>
  </si>
  <si>
    <t>QUICK - CALC Frese OPTIMIZER 6 way</t>
  </si>
  <si>
    <t>DN25L 5,5</t>
  </si>
  <si>
    <t>18-600</t>
  </si>
  <si>
    <t>16-600</t>
  </si>
  <si>
    <t>14-600</t>
  </si>
  <si>
    <t>DN 20 High 5,5</t>
  </si>
  <si>
    <t>OPTIMA Compact</t>
  </si>
  <si>
    <t>Total OPTIMIZER</t>
  </si>
  <si>
    <t>95-2000</t>
  </si>
  <si>
    <t>DN25L</t>
  </si>
  <si>
    <t>DN25L (53-2204 withdrawn)</t>
  </si>
  <si>
    <t>QUICK - CALC Frese SIGMA Compact Flanged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</si>
</sst>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_(* #,##0.00_);_(* \(#,##0.00\);_(* &quot;-&quot;??_);_(@_)"/>
    <numFmt numFmtId="166" formatCode="0.0"/>
    <numFmt numFmtId="167" formatCode="0.0%"/>
    <numFmt numFmtId="168" formatCode="#,##0.0"/>
    <numFmt numFmtId="169" formatCode="0.000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57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20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164" fontId="26" fillId="0" borderId="0" applyFont="0" applyFill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21" fillId="20" borderId="1" applyNumberFormat="0" applyAlignment="0" applyProtection="0"/>
    <xf numFmtId="0" fontId="22" fillId="20" borderId="3" applyNumberFormat="0" applyAlignment="0" applyProtection="0"/>
    <xf numFmtId="0" fontId="20" fillId="7" borderId="3" applyNumberFormat="0" applyAlignment="0" applyProtection="0"/>
    <xf numFmtId="0" fontId="28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18" fillId="4" borderId="0" applyNumberFormat="0" applyBorder="0" applyAlignment="0" applyProtection="0"/>
    <xf numFmtId="165" fontId="1" fillId="0" borderId="0" applyFont="0" applyFill="0" applyBorder="0" applyAlignment="0" applyProtection="0"/>
    <xf numFmtId="0" fontId="8" fillId="21" borderId="2" applyNumberFormat="0" applyFont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3" borderId="0" applyNumberFormat="0" applyBorder="0" applyAlignment="0" applyProtection="0"/>
    <xf numFmtId="0" fontId="23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4" fillId="22" borderId="5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4">
    <xf numFmtId="0" fontId="0" fillId="0" borderId="0" xfId="0"/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3" fillId="0" borderId="0" xfId="0" applyFont="1"/>
    <xf numFmtId="0" fontId="3" fillId="0" borderId="0" xfId="0" applyFont="1" applyFill="1"/>
    <xf numFmtId="0" fontId="0" fillId="23" borderId="0" xfId="0" applyFill="1"/>
    <xf numFmtId="0" fontId="6" fillId="23" borderId="0" xfId="0" applyFont="1" applyFill="1"/>
    <xf numFmtId="2" fontId="7" fillId="0" borderId="10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0" xfId="0" applyFont="1" applyBorder="1"/>
    <xf numFmtId="0" fontId="2" fillId="23" borderId="0" xfId="0" applyFont="1" applyFill="1" applyBorder="1"/>
    <xf numFmtId="0" fontId="0" fillId="0" borderId="0" xfId="0" applyFill="1" applyBorder="1" applyProtection="1"/>
    <xf numFmtId="166" fontId="0" fillId="0" borderId="0" xfId="0" applyNumberFormat="1" applyFill="1" applyBorder="1" applyAlignment="1">
      <alignment horizontal="center"/>
    </xf>
    <xf numFmtId="166" fontId="0" fillId="23" borderId="0" xfId="0" applyNumberFormat="1" applyFill="1" applyBorder="1"/>
    <xf numFmtId="0" fontId="0" fillId="0" borderId="24" xfId="0" applyBorder="1"/>
    <xf numFmtId="0" fontId="0" fillId="0" borderId="25" xfId="0" applyNumberFormat="1" applyBorder="1"/>
    <xf numFmtId="0" fontId="0" fillId="0" borderId="25" xfId="0" applyBorder="1"/>
    <xf numFmtId="0" fontId="0" fillId="0" borderId="26" xfId="0" applyBorder="1"/>
    <xf numFmtId="0" fontId="2" fillId="0" borderId="0" xfId="0" applyFont="1" applyBorder="1" applyAlignment="1"/>
    <xf numFmtId="0" fontId="2" fillId="0" borderId="23" xfId="0" applyFont="1" applyBorder="1"/>
    <xf numFmtId="0" fontId="2" fillId="24" borderId="0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/>
    <xf numFmtId="166" fontId="2" fillId="25" borderId="10" xfId="0" applyNumberFormat="1" applyFont="1" applyFill="1" applyBorder="1" applyAlignment="1">
      <alignment horizontal="center"/>
    </xf>
    <xf numFmtId="0" fontId="2" fillId="26" borderId="15" xfId="0" applyFont="1" applyFill="1" applyBorder="1" applyAlignment="1">
      <alignment horizontal="center"/>
    </xf>
    <xf numFmtId="166" fontId="2" fillId="26" borderId="15" xfId="0" applyNumberFormat="1" applyFont="1" applyFill="1" applyBorder="1" applyAlignment="1">
      <alignment horizontal="center"/>
    </xf>
    <xf numFmtId="166" fontId="2" fillId="25" borderId="17" xfId="0" applyNumberFormat="1" applyFont="1" applyFill="1" applyBorder="1" applyAlignment="1">
      <alignment horizontal="center"/>
    </xf>
    <xf numFmtId="166" fontId="2" fillId="26" borderId="18" xfId="0" applyNumberFormat="1" applyFont="1" applyFill="1" applyBorder="1" applyAlignment="1">
      <alignment horizontal="center"/>
    </xf>
    <xf numFmtId="3" fontId="1" fillId="0" borderId="10" xfId="32" applyNumberFormat="1" applyBorder="1" applyAlignment="1">
      <alignment horizontal="center" vertical="center"/>
    </xf>
    <xf numFmtId="166" fontId="2" fillId="27" borderId="15" xfId="0" applyNumberFormat="1" applyFont="1" applyFill="1" applyBorder="1" applyAlignment="1">
      <alignment horizontal="center"/>
    </xf>
    <xf numFmtId="166" fontId="2" fillId="27" borderId="18" xfId="0" applyNumberFormat="1" applyFont="1" applyFill="1" applyBorder="1" applyAlignment="1">
      <alignment horizontal="center"/>
    </xf>
    <xf numFmtId="2" fontId="7" fillId="0" borderId="17" xfId="0" applyNumberFormat="1" applyFont="1" applyBorder="1" applyAlignment="1" applyProtection="1">
      <alignment horizontal="center" vertical="center"/>
    </xf>
    <xf numFmtId="2" fontId="1" fillId="0" borderId="10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9" fillId="0" borderId="10" xfId="0" applyNumberFormat="1" applyFont="1" applyBorder="1" applyAlignment="1" applyProtection="1">
      <alignment horizontal="center" vertical="center"/>
    </xf>
    <xf numFmtId="2" fontId="9" fillId="0" borderId="10" xfId="0" applyNumberFormat="1" applyFont="1" applyFill="1" applyBorder="1" applyAlignment="1" applyProtection="1">
      <alignment horizontal="center" vertical="center"/>
    </xf>
    <xf numFmtId="2" fontId="9" fillId="0" borderId="10" xfId="0" applyNumberFormat="1" applyFont="1" applyBorder="1" applyAlignment="1" applyProtection="1">
      <alignment horizontal="center" vertical="center"/>
    </xf>
    <xf numFmtId="1" fontId="9" fillId="0" borderId="17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0" xfId="0" applyNumberFormat="1" applyBorder="1"/>
    <xf numFmtId="0" fontId="0" fillId="0" borderId="10" xfId="0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20" xfId="0" applyFont="1" applyBorder="1"/>
    <xf numFmtId="0" fontId="2" fillId="0" borderId="27" xfId="0" applyFont="1" applyBorder="1" applyAlignment="1"/>
    <xf numFmtId="0" fontId="2" fillId="0" borderId="29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" fillId="0" borderId="0" xfId="0" applyFont="1"/>
    <xf numFmtId="0" fontId="2" fillId="27" borderId="31" xfId="0" applyFont="1" applyFill="1" applyBorder="1" applyAlignment="1">
      <alignment horizontal="center"/>
    </xf>
    <xf numFmtId="0" fontId="2" fillId="25" borderId="30" xfId="0" applyFont="1" applyFill="1" applyBorder="1" applyAlignment="1">
      <alignment horizontal="center"/>
    </xf>
    <xf numFmtId="0" fontId="2" fillId="26" borderId="32" xfId="0" applyFont="1" applyFill="1" applyBorder="1" applyAlignment="1">
      <alignment horizontal="center"/>
    </xf>
    <xf numFmtId="166" fontId="2" fillId="27" borderId="33" xfId="0" applyNumberFormat="1" applyFont="1" applyFill="1" applyBorder="1" applyAlignment="1">
      <alignment horizontal="center"/>
    </xf>
    <xf numFmtId="166" fontId="2" fillId="27" borderId="34" xfId="0" applyNumberFormat="1" applyFont="1" applyFill="1" applyBorder="1" applyAlignment="1">
      <alignment horizontal="center"/>
    </xf>
    <xf numFmtId="166" fontId="2" fillId="26" borderId="35" xfId="0" applyNumberFormat="1" applyFont="1" applyFill="1" applyBorder="1" applyAlignment="1">
      <alignment horizontal="center"/>
    </xf>
    <xf numFmtId="166" fontId="2" fillId="27" borderId="36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10" fillId="0" borderId="10" xfId="0" applyNumberFormat="1" applyFont="1" applyBorder="1" applyAlignment="1" applyProtection="1">
      <alignment horizontal="center" vertical="center"/>
    </xf>
    <xf numFmtId="2" fontId="3" fillId="0" borderId="10" xfId="0" applyNumberFormat="1" applyFont="1" applyFill="1" applyBorder="1" applyAlignment="1" applyProtection="1">
      <alignment horizontal="center" vertical="center"/>
    </xf>
    <xf numFmtId="2" fontId="11" fillId="0" borderId="10" xfId="0" applyNumberFormat="1" applyFont="1" applyBorder="1" applyAlignment="1" applyProtection="1">
      <alignment horizontal="center" vertical="center"/>
    </xf>
    <xf numFmtId="2" fontId="3" fillId="0" borderId="10" xfId="0" applyNumberFormat="1" applyFont="1" applyBorder="1" applyAlignment="1" applyProtection="1">
      <alignment horizontal="center" vertical="center"/>
    </xf>
    <xf numFmtId="1" fontId="10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" fontId="10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8" fillId="0" borderId="38" xfId="0" applyFont="1" applyBorder="1" applyAlignment="1">
      <alignment horizontal="center"/>
    </xf>
    <xf numFmtId="0" fontId="2" fillId="27" borderId="39" xfId="0" applyFont="1" applyFill="1" applyBorder="1" applyAlignment="1">
      <alignment horizontal="center"/>
    </xf>
    <xf numFmtId="0" fontId="2" fillId="25" borderId="38" xfId="0" applyFont="1" applyFill="1" applyBorder="1" applyAlignment="1">
      <alignment horizontal="center"/>
    </xf>
    <xf numFmtId="0" fontId="2" fillId="26" borderId="40" xfId="0" applyFont="1" applyFill="1" applyBorder="1" applyAlignment="1">
      <alignment horizontal="center"/>
    </xf>
    <xf numFmtId="166" fontId="2" fillId="27" borderId="43" xfId="0" applyNumberFormat="1" applyFont="1" applyFill="1" applyBorder="1" applyAlignment="1">
      <alignment horizontal="center"/>
    </xf>
    <xf numFmtId="166" fontId="2" fillId="25" borderId="44" xfId="0" applyNumberFormat="1" applyFont="1" applyFill="1" applyBorder="1" applyAlignment="1">
      <alignment horizontal="center"/>
    </xf>
    <xf numFmtId="0" fontId="2" fillId="25" borderId="0" xfId="0" applyFont="1" applyFill="1" applyBorder="1"/>
    <xf numFmtId="0" fontId="2" fillId="27" borderId="14" xfId="0" applyFont="1" applyFill="1" applyBorder="1"/>
    <xf numFmtId="0" fontId="2" fillId="25" borderId="10" xfId="0" applyFont="1" applyFill="1" applyBorder="1" applyAlignment="1">
      <alignment horizontal="center"/>
    </xf>
    <xf numFmtId="0" fontId="0" fillId="0" borderId="0" xfId="0" applyFill="1" applyBorder="1"/>
    <xf numFmtId="0" fontId="2" fillId="27" borderId="16" xfId="0" applyFont="1" applyFill="1" applyBorder="1"/>
    <xf numFmtId="0" fontId="2" fillId="0" borderId="23" xfId="0" applyFont="1" applyBorder="1" applyAlignment="1"/>
    <xf numFmtId="0" fontId="12" fillId="0" borderId="23" xfId="0" applyFont="1" applyBorder="1"/>
    <xf numFmtId="0" fontId="2" fillId="25" borderId="10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/>
    </xf>
    <xf numFmtId="0" fontId="2" fillId="0" borderId="45" xfId="0" applyFont="1" applyFill="1" applyBorder="1"/>
    <xf numFmtId="0" fontId="2" fillId="0" borderId="46" xfId="0" applyFont="1" applyFill="1" applyBorder="1"/>
    <xf numFmtId="0" fontId="2" fillId="26" borderId="17" xfId="0" applyFont="1" applyFill="1" applyBorder="1" applyAlignment="1">
      <alignment horizontal="center"/>
    </xf>
    <xf numFmtId="0" fontId="2" fillId="26" borderId="18" xfId="0" applyFont="1" applyFill="1" applyBorder="1" applyAlignment="1">
      <alignment horizontal="center"/>
    </xf>
    <xf numFmtId="0" fontId="0" fillId="29" borderId="14" xfId="0" applyFill="1" applyBorder="1" applyAlignment="1">
      <alignment horizontal="left" vertical="center"/>
    </xf>
    <xf numFmtId="2" fontId="7" fillId="29" borderId="10" xfId="0" applyNumberFormat="1" applyFont="1" applyFill="1" applyBorder="1" applyAlignment="1" applyProtection="1">
      <alignment horizontal="center" vertical="center"/>
    </xf>
    <xf numFmtId="1" fontId="9" fillId="29" borderId="10" xfId="0" applyNumberFormat="1" applyFont="1" applyFill="1" applyBorder="1" applyAlignment="1" applyProtection="1">
      <alignment horizontal="center" vertical="center"/>
    </xf>
    <xf numFmtId="2" fontId="9" fillId="29" borderId="10" xfId="0" applyNumberFormat="1" applyFont="1" applyFill="1" applyBorder="1" applyAlignment="1" applyProtection="1">
      <alignment horizontal="center" vertical="center"/>
    </xf>
    <xf numFmtId="2" fontId="0" fillId="29" borderId="10" xfId="0" applyNumberFormat="1" applyFill="1" applyBorder="1" applyAlignment="1" applyProtection="1">
      <alignment horizontal="center" vertical="center"/>
    </xf>
    <xf numFmtId="3" fontId="1" fillId="29" borderId="10" xfId="32" applyNumberFormat="1" applyFill="1" applyBorder="1" applyAlignment="1">
      <alignment horizontal="center" vertical="center"/>
    </xf>
    <xf numFmtId="1" fontId="0" fillId="29" borderId="10" xfId="0" applyNumberFormat="1" applyFill="1" applyBorder="1" applyAlignment="1">
      <alignment horizontal="center" vertical="center"/>
    </xf>
    <xf numFmtId="0" fontId="0" fillId="29" borderId="10" xfId="0" applyFill="1" applyBorder="1" applyAlignment="1">
      <alignment horizontal="center"/>
    </xf>
    <xf numFmtId="0" fontId="0" fillId="29" borderId="15" xfId="0" applyFill="1" applyBorder="1" applyAlignment="1">
      <alignment horizontal="center"/>
    </xf>
    <xf numFmtId="2" fontId="0" fillId="0" borderId="10" xfId="0" applyNumberFormat="1" applyBorder="1" applyAlignment="1" applyProtection="1">
      <alignment horizontal="center" vertical="center"/>
    </xf>
    <xf numFmtId="2" fontId="10" fillId="0" borderId="10" xfId="0" applyNumberFormat="1" applyFont="1" applyBorder="1" applyAlignment="1" applyProtection="1">
      <alignment horizontal="center" vertical="center"/>
    </xf>
    <xf numFmtId="1" fontId="9" fillId="29" borderId="10" xfId="0" applyNumberFormat="1" applyFont="1" applyFill="1" applyBorder="1" applyAlignment="1">
      <alignment horizontal="center"/>
    </xf>
    <xf numFmtId="0" fontId="9" fillId="29" borderId="10" xfId="0" applyFont="1" applyFill="1" applyBorder="1" applyAlignment="1">
      <alignment horizontal="center"/>
    </xf>
    <xf numFmtId="0" fontId="0" fillId="29" borderId="10" xfId="0" applyFill="1" applyBorder="1"/>
    <xf numFmtId="0" fontId="0" fillId="29" borderId="16" xfId="0" applyFill="1" applyBorder="1" applyAlignment="1">
      <alignment horizontal="left" vertical="center"/>
    </xf>
    <xf numFmtId="1" fontId="9" fillId="29" borderId="17" xfId="0" applyNumberFormat="1" applyFont="1" applyFill="1" applyBorder="1" applyAlignment="1">
      <alignment horizontal="center"/>
    </xf>
    <xf numFmtId="0" fontId="9" fillId="29" borderId="17" xfId="0" applyFont="1" applyFill="1" applyBorder="1" applyAlignment="1">
      <alignment horizontal="center"/>
    </xf>
    <xf numFmtId="0" fontId="0" fillId="29" borderId="17" xfId="0" applyFill="1" applyBorder="1" applyAlignment="1">
      <alignment horizontal="center"/>
    </xf>
    <xf numFmtId="0" fontId="0" fillId="29" borderId="17" xfId="0" applyFill="1" applyBorder="1"/>
    <xf numFmtId="0" fontId="0" fillId="29" borderId="18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25" borderId="47" xfId="0" applyFont="1" applyFill="1" applyBorder="1"/>
    <xf numFmtId="0" fontId="2" fillId="26" borderId="48" xfId="0" applyFont="1" applyFill="1" applyBorder="1" applyAlignment="1">
      <alignment horizontal="center"/>
    </xf>
    <xf numFmtId="0" fontId="2" fillId="26" borderId="49" xfId="0" applyFont="1" applyFill="1" applyBorder="1" applyAlignment="1">
      <alignment horizontal="center"/>
    </xf>
    <xf numFmtId="0" fontId="2" fillId="25" borderId="50" xfId="0" applyFont="1" applyFill="1" applyBorder="1" applyAlignment="1"/>
    <xf numFmtId="0" fontId="2" fillId="25" borderId="51" xfId="0" applyFont="1" applyFill="1" applyBorder="1" applyAlignment="1">
      <alignment horizontal="center"/>
    </xf>
    <xf numFmtId="0" fontId="2" fillId="26" borderId="52" xfId="0" applyFont="1" applyFill="1" applyBorder="1" applyAlignment="1">
      <alignment horizontal="center"/>
    </xf>
    <xf numFmtId="0" fontId="2" fillId="25" borderId="50" xfId="0" applyFont="1" applyFill="1" applyBorder="1" applyAlignment="1">
      <alignment horizontal="left" vertical="center"/>
    </xf>
    <xf numFmtId="166" fontId="2" fillId="25" borderId="51" xfId="0" applyNumberFormat="1" applyFont="1" applyFill="1" applyBorder="1" applyAlignment="1">
      <alignment horizontal="center"/>
    </xf>
    <xf numFmtId="166" fontId="2" fillId="26" borderId="52" xfId="0" applyNumberFormat="1" applyFont="1" applyFill="1" applyBorder="1" applyAlignment="1">
      <alignment horizontal="center"/>
    </xf>
    <xf numFmtId="166" fontId="2" fillId="27" borderId="53" xfId="0" applyNumberFormat="1" applyFont="1" applyFill="1" applyBorder="1" applyAlignment="1">
      <alignment horizontal="center"/>
    </xf>
    <xf numFmtId="0" fontId="2" fillId="25" borderId="54" xfId="0" applyFont="1" applyFill="1" applyBorder="1" applyAlignment="1">
      <alignment horizontal="left" vertical="center"/>
    </xf>
    <xf numFmtId="166" fontId="2" fillId="25" borderId="55" xfId="0" applyNumberFormat="1" applyFont="1" applyFill="1" applyBorder="1" applyAlignment="1">
      <alignment horizontal="center"/>
    </xf>
    <xf numFmtId="166" fontId="2" fillId="26" borderId="56" xfId="0" applyNumberFormat="1" applyFont="1" applyFill="1" applyBorder="1" applyAlignment="1">
      <alignment horizontal="center"/>
    </xf>
    <xf numFmtId="0" fontId="2" fillId="27" borderId="10" xfId="0" applyFont="1" applyFill="1" applyBorder="1" applyAlignment="1">
      <alignment horizontal="center"/>
    </xf>
    <xf numFmtId="0" fontId="2" fillId="27" borderId="51" xfId="0" applyFont="1" applyFill="1" applyBorder="1" applyAlignment="1">
      <alignment horizontal="center" vertical="center" wrapText="1"/>
    </xf>
    <xf numFmtId="0" fontId="2" fillId="25" borderId="27" xfId="0" applyFont="1" applyFill="1" applyBorder="1" applyAlignment="1">
      <alignment horizontal="center"/>
    </xf>
    <xf numFmtId="0" fontId="2" fillId="25" borderId="33" xfId="0" applyFont="1" applyFill="1" applyBorder="1" applyAlignment="1">
      <alignment horizontal="center" vertical="center" wrapText="1"/>
    </xf>
    <xf numFmtId="0" fontId="13" fillId="26" borderId="50" xfId="0" applyFont="1" applyFill="1" applyBorder="1" applyAlignment="1">
      <alignment horizontal="center" vertical="center" wrapText="1"/>
    </xf>
    <xf numFmtId="49" fontId="2" fillId="27" borderId="51" xfId="0" applyNumberFormat="1" applyFont="1" applyFill="1" applyBorder="1" applyAlignment="1">
      <alignment horizontal="center"/>
    </xf>
    <xf numFmtId="0" fontId="2" fillId="25" borderId="33" xfId="0" applyFont="1" applyFill="1" applyBorder="1" applyAlignment="1">
      <alignment horizontal="center"/>
    </xf>
    <xf numFmtId="49" fontId="2" fillId="26" borderId="50" xfId="0" applyNumberFormat="1" applyFont="1" applyFill="1" applyBorder="1" applyAlignment="1">
      <alignment horizontal="center"/>
    </xf>
    <xf numFmtId="0" fontId="2" fillId="27" borderId="17" xfId="0" applyFont="1" applyFill="1" applyBorder="1" applyAlignment="1">
      <alignment horizontal="center"/>
    </xf>
    <xf numFmtId="49" fontId="2" fillId="27" borderId="55" xfId="0" applyNumberFormat="1" applyFont="1" applyFill="1" applyBorder="1" applyAlignment="1">
      <alignment horizontal="center"/>
    </xf>
    <xf numFmtId="0" fontId="2" fillId="25" borderId="28" xfId="0" applyFont="1" applyFill="1" applyBorder="1" applyAlignment="1">
      <alignment horizontal="center"/>
    </xf>
    <xf numFmtId="0" fontId="2" fillId="25" borderId="53" xfId="0" applyFont="1" applyFill="1" applyBorder="1" applyAlignment="1">
      <alignment horizontal="center"/>
    </xf>
    <xf numFmtId="49" fontId="2" fillId="26" borderId="54" xfId="0" applyNumberFormat="1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1" fillId="0" borderId="0" xfId="0" applyFont="1" applyBorder="1"/>
    <xf numFmtId="0" fontId="31" fillId="0" borderId="0" xfId="0" applyFont="1" applyFill="1" applyBorder="1" applyAlignment="1">
      <alignment horizontal="left"/>
    </xf>
    <xf numFmtId="0" fontId="0" fillId="0" borderId="57" xfId="0" applyBorder="1"/>
    <xf numFmtId="0" fontId="0" fillId="0" borderId="37" xfId="0" applyBorder="1"/>
    <xf numFmtId="0" fontId="31" fillId="0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0" fillId="0" borderId="47" xfId="0" applyBorder="1"/>
    <xf numFmtId="0" fontId="31" fillId="0" borderId="58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/>
    <xf numFmtId="3" fontId="2" fillId="0" borderId="47" xfId="0" applyNumberFormat="1" applyFont="1" applyFill="1" applyBorder="1" applyAlignment="1">
      <alignment horizontal="center"/>
    </xf>
    <xf numFmtId="3" fontId="2" fillId="27" borderId="59" xfId="0" applyNumberFormat="1" applyFont="1" applyFill="1" applyBorder="1" applyAlignment="1">
      <alignment horizontal="center"/>
    </xf>
    <xf numFmtId="3" fontId="2" fillId="27" borderId="38" xfId="0" applyNumberFormat="1" applyFont="1" applyFill="1" applyBorder="1" applyAlignment="1">
      <alignment horizontal="center"/>
    </xf>
    <xf numFmtId="3" fontId="2" fillId="26" borderId="38" xfId="0" applyNumberFormat="1" applyFont="1" applyFill="1" applyBorder="1" applyAlignment="1">
      <alignment horizontal="center"/>
    </xf>
    <xf numFmtId="3" fontId="2" fillId="24" borderId="60" xfId="0" applyNumberFormat="1" applyFont="1" applyFill="1" applyBorder="1" applyAlignment="1">
      <alignment horizontal="center"/>
    </xf>
    <xf numFmtId="3" fontId="2" fillId="0" borderId="0" xfId="0" applyNumberFormat="1" applyFont="1" applyBorder="1"/>
    <xf numFmtId="3" fontId="2" fillId="24" borderId="60" xfId="0" quotePrefix="1" applyNumberFormat="1" applyFont="1" applyFill="1" applyBorder="1" applyAlignment="1">
      <alignment horizontal="center"/>
    </xf>
    <xf numFmtId="3" fontId="2" fillId="27" borderId="51" xfId="0" applyNumberFormat="1" applyFont="1" applyFill="1" applyBorder="1" applyAlignment="1">
      <alignment horizontal="center"/>
    </xf>
    <xf numFmtId="3" fontId="2" fillId="27" borderId="10" xfId="0" applyNumberFormat="1" applyFont="1" applyFill="1" applyBorder="1" applyAlignment="1">
      <alignment horizontal="center"/>
    </xf>
    <xf numFmtId="3" fontId="2" fillId="26" borderId="10" xfId="0" applyNumberFormat="1" applyFont="1" applyFill="1" applyBorder="1" applyAlignment="1">
      <alignment horizontal="center"/>
    </xf>
    <xf numFmtId="3" fontId="2" fillId="24" borderId="50" xfId="0" applyNumberFormat="1" applyFont="1" applyFill="1" applyBorder="1" applyAlignment="1">
      <alignment horizontal="center"/>
    </xf>
    <xf numFmtId="0" fontId="2" fillId="27" borderId="51" xfId="0" applyFont="1" applyFill="1" applyBorder="1" applyAlignment="1">
      <alignment horizontal="center"/>
    </xf>
    <xf numFmtId="0" fontId="2" fillId="24" borderId="50" xfId="0" applyFont="1" applyFill="1" applyBorder="1" applyAlignment="1">
      <alignment horizontal="center"/>
    </xf>
    <xf numFmtId="0" fontId="0" fillId="0" borderId="23" xfId="0" applyFill="1" applyBorder="1"/>
    <xf numFmtId="0" fontId="0" fillId="0" borderId="58" xfId="0" applyBorder="1"/>
    <xf numFmtId="0" fontId="31" fillId="26" borderId="10" xfId="0" applyFont="1" applyFill="1" applyBorder="1" applyAlignment="1">
      <alignment horizontal="center"/>
    </xf>
    <xf numFmtId="0" fontId="31" fillId="24" borderId="50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0" xfId="0" applyFont="1" applyFill="1" applyBorder="1"/>
    <xf numFmtId="0" fontId="2" fillId="0" borderId="47" xfId="0" applyFont="1" applyFill="1" applyBorder="1" applyAlignment="1">
      <alignment horizontal="center"/>
    </xf>
    <xf numFmtId="0" fontId="0" fillId="0" borderId="38" xfId="0" applyFill="1" applyBorder="1"/>
    <xf numFmtId="0" fontId="0" fillId="0" borderId="10" xfId="0" applyFill="1" applyBorder="1"/>
    <xf numFmtId="0" fontId="0" fillId="0" borderId="60" xfId="0" applyFill="1" applyBorder="1"/>
    <xf numFmtId="0" fontId="0" fillId="0" borderId="50" xfId="0" applyFill="1" applyBorder="1"/>
    <xf numFmtId="0" fontId="0" fillId="0" borderId="33" xfId="0" applyBorder="1"/>
    <xf numFmtId="0" fontId="0" fillId="0" borderId="38" xfId="0" applyBorder="1"/>
    <xf numFmtId="0" fontId="8" fillId="0" borderId="60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2" fillId="0" borderId="58" xfId="0" applyFont="1" applyBorder="1"/>
    <xf numFmtId="0" fontId="8" fillId="0" borderId="58" xfId="0" applyFont="1" applyBorder="1"/>
    <xf numFmtId="0" fontId="8" fillId="0" borderId="50" xfId="0" quotePrefix="1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33" xfId="0" applyBorder="1" applyAlignment="1">
      <alignment horizontal="center"/>
    </xf>
    <xf numFmtId="0" fontId="0" fillId="0" borderId="44" xfId="0" applyBorder="1" applyAlignment="1">
      <alignment horizontal="center"/>
    </xf>
    <xf numFmtId="0" fontId="8" fillId="0" borderId="0" xfId="0" applyFont="1" applyFill="1" applyBorder="1"/>
    <xf numFmtId="0" fontId="0" fillId="0" borderId="37" xfId="0" applyFill="1" applyBorder="1"/>
    <xf numFmtId="0" fontId="2" fillId="24" borderId="59" xfId="0" applyFont="1" applyFill="1" applyBorder="1" applyAlignment="1">
      <alignment horizontal="center"/>
    </xf>
    <xf numFmtId="0" fontId="2" fillId="24" borderId="38" xfId="0" applyFont="1" applyFill="1" applyBorder="1" applyAlignment="1">
      <alignment horizontal="center"/>
    </xf>
    <xf numFmtId="0" fontId="2" fillId="24" borderId="60" xfId="0" applyFont="1" applyFill="1" applyBorder="1" applyAlignment="1">
      <alignment horizontal="center"/>
    </xf>
    <xf numFmtId="0" fontId="2" fillId="30" borderId="59" xfId="0" applyFont="1" applyFill="1" applyBorder="1" applyAlignment="1">
      <alignment horizontal="center"/>
    </xf>
    <xf numFmtId="0" fontId="2" fillId="30" borderId="38" xfId="0" applyFont="1" applyFill="1" applyBorder="1" applyAlignment="1">
      <alignment horizontal="center"/>
    </xf>
    <xf numFmtId="0" fontId="2" fillId="31" borderId="38" xfId="0" applyFont="1" applyFill="1" applyBorder="1" applyAlignment="1">
      <alignment horizontal="center"/>
    </xf>
    <xf numFmtId="0" fontId="2" fillId="31" borderId="60" xfId="0" applyFont="1" applyFill="1" applyBorder="1" applyAlignment="1">
      <alignment horizontal="center"/>
    </xf>
    <xf numFmtId="3" fontId="2" fillId="0" borderId="59" xfId="0" applyNumberFormat="1" applyFont="1" applyFill="1" applyBorder="1" applyAlignment="1">
      <alignment horizontal="center"/>
    </xf>
    <xf numFmtId="3" fontId="2" fillId="0" borderId="60" xfId="0" applyNumberFormat="1" applyFont="1" applyFill="1" applyBorder="1" applyAlignment="1">
      <alignment horizontal="center"/>
    </xf>
    <xf numFmtId="0" fontId="2" fillId="0" borderId="62" xfId="0" applyFont="1" applyBorder="1"/>
    <xf numFmtId="0" fontId="2" fillId="24" borderId="51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/>
    </xf>
    <xf numFmtId="0" fontId="2" fillId="30" borderId="51" xfId="0" applyFont="1" applyFill="1" applyBorder="1" applyAlignment="1">
      <alignment horizontal="center"/>
    </xf>
    <xf numFmtId="0" fontId="2" fillId="30" borderId="10" xfId="0" applyFont="1" applyFill="1" applyBorder="1" applyAlignment="1">
      <alignment horizontal="center"/>
    </xf>
    <xf numFmtId="0" fontId="2" fillId="31" borderId="10" xfId="0" applyFont="1" applyFill="1" applyBorder="1" applyAlignment="1">
      <alignment horizontal="center"/>
    </xf>
    <xf numFmtId="0" fontId="2" fillId="31" borderId="50" xfId="0" applyFont="1" applyFill="1" applyBorder="1" applyAlignment="1">
      <alignment horizontal="center"/>
    </xf>
    <xf numFmtId="3" fontId="2" fillId="32" borderId="51" xfId="0" applyNumberFormat="1" applyFont="1" applyFill="1" applyBorder="1" applyAlignment="1">
      <alignment horizontal="center"/>
    </xf>
    <xf numFmtId="3" fontId="2" fillId="32" borderId="50" xfId="0" applyNumberFormat="1" applyFont="1" applyFill="1" applyBorder="1" applyAlignment="1">
      <alignment horizontal="center"/>
    </xf>
    <xf numFmtId="3" fontId="2" fillId="0" borderId="51" xfId="0" applyNumberFormat="1" applyFont="1" applyFill="1" applyBorder="1" applyAlignment="1">
      <alignment horizontal="center"/>
    </xf>
    <xf numFmtId="3" fontId="2" fillId="0" borderId="50" xfId="0" applyNumberFormat="1" applyFont="1" applyFill="1" applyBorder="1" applyAlignment="1">
      <alignment horizontal="center"/>
    </xf>
    <xf numFmtId="0" fontId="2" fillId="0" borderId="58" xfId="0" applyFont="1" applyFill="1" applyBorder="1"/>
    <xf numFmtId="3" fontId="2" fillId="30" borderId="51" xfId="0" applyNumberFormat="1" applyFont="1" applyFill="1" applyBorder="1" applyAlignment="1">
      <alignment horizontal="center"/>
    </xf>
    <xf numFmtId="3" fontId="2" fillId="30" borderId="10" xfId="0" applyNumberFormat="1" applyFont="1" applyFill="1" applyBorder="1" applyAlignment="1">
      <alignment horizontal="center"/>
    </xf>
    <xf numFmtId="3" fontId="2" fillId="31" borderId="10" xfId="0" applyNumberFormat="1" applyFont="1" applyFill="1" applyBorder="1" applyAlignment="1">
      <alignment horizontal="center"/>
    </xf>
    <xf numFmtId="3" fontId="2" fillId="31" borderId="50" xfId="0" applyNumberFormat="1" applyFont="1" applyFill="1" applyBorder="1" applyAlignment="1">
      <alignment horizontal="center"/>
    </xf>
    <xf numFmtId="3" fontId="2" fillId="30" borderId="10" xfId="0" applyNumberFormat="1" applyFont="1" applyFill="1" applyBorder="1"/>
    <xf numFmtId="0" fontId="2" fillId="30" borderId="63" xfId="0" applyFont="1" applyFill="1" applyBorder="1" applyAlignment="1">
      <alignment horizontal="center"/>
    </xf>
    <xf numFmtId="0" fontId="2" fillId="30" borderId="44" xfId="0" applyFont="1" applyFill="1" applyBorder="1" applyAlignment="1">
      <alignment horizontal="center"/>
    </xf>
    <xf numFmtId="0" fontId="2" fillId="31" borderId="44" xfId="0" applyFont="1" applyFill="1" applyBorder="1" applyAlignment="1">
      <alignment horizontal="center"/>
    </xf>
    <xf numFmtId="0" fontId="2" fillId="31" borderId="64" xfId="0" applyFont="1" applyFill="1" applyBorder="1" applyAlignment="1">
      <alignment horizontal="center"/>
    </xf>
    <xf numFmtId="0" fontId="2" fillId="32" borderId="51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0" fillId="0" borderId="58" xfId="0" applyFill="1" applyBorder="1"/>
    <xf numFmtId="0" fontId="31" fillId="0" borderId="47" xfId="0" applyFont="1" applyFill="1" applyBorder="1" applyAlignment="1">
      <alignment horizontal="center"/>
    </xf>
    <xf numFmtId="0" fontId="2" fillId="24" borderId="63" xfId="0" applyFont="1" applyFill="1" applyBorder="1" applyAlignment="1">
      <alignment horizontal="center"/>
    </xf>
    <xf numFmtId="0" fontId="2" fillId="24" borderId="44" xfId="0" applyFont="1" applyFill="1" applyBorder="1" applyAlignment="1">
      <alignment horizontal="center"/>
    </xf>
    <xf numFmtId="0" fontId="2" fillId="24" borderId="64" xfId="0" applyFont="1" applyFill="1" applyBorder="1" applyAlignment="1">
      <alignment horizontal="center"/>
    </xf>
    <xf numFmtId="0" fontId="2" fillId="32" borderId="63" xfId="0" applyFont="1" applyFill="1" applyBorder="1" applyAlignment="1">
      <alignment horizontal="center"/>
    </xf>
    <xf numFmtId="0" fontId="2" fillId="32" borderId="64" xfId="0" applyFont="1" applyFill="1" applyBorder="1" applyAlignment="1">
      <alignment horizontal="center"/>
    </xf>
    <xf numFmtId="0" fontId="2" fillId="24" borderId="65" xfId="0" applyFont="1" applyFill="1" applyBorder="1" applyAlignment="1">
      <alignment horizontal="center"/>
    </xf>
    <xf numFmtId="0" fontId="2" fillId="24" borderId="66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/>
    </xf>
    <xf numFmtId="0" fontId="2" fillId="0" borderId="60" xfId="0" applyFont="1" applyFill="1" applyBorder="1" applyAlignment="1">
      <alignment horizontal="center"/>
    </xf>
    <xf numFmtId="0" fontId="2" fillId="24" borderId="30" xfId="0" applyFont="1" applyFill="1" applyBorder="1" applyAlignment="1">
      <alignment horizontal="center"/>
    </xf>
    <xf numFmtId="3" fontId="2" fillId="0" borderId="0" xfId="0" applyNumberFormat="1" applyFont="1" applyFill="1" applyBorder="1"/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3" fontId="2" fillId="0" borderId="0" xfId="0" quotePrefix="1" applyNumberFormat="1" applyFont="1" applyFill="1" applyBorder="1" applyAlignment="1">
      <alignment horizontal="center"/>
    </xf>
    <xf numFmtId="0" fontId="0" fillId="0" borderId="26" xfId="0" applyFill="1" applyBorder="1"/>
    <xf numFmtId="0" fontId="2" fillId="0" borderId="25" xfId="0" applyFont="1" applyFill="1" applyBorder="1"/>
    <xf numFmtId="0" fontId="0" fillId="0" borderId="24" xfId="0" applyFill="1" applyBorder="1"/>
    <xf numFmtId="0" fontId="2" fillId="0" borderId="22" xfId="0" applyFont="1" applyFill="1" applyBorder="1"/>
    <xf numFmtId="3" fontId="2" fillId="28" borderId="51" xfId="0" applyNumberFormat="1" applyFont="1" applyFill="1" applyBorder="1" applyAlignment="1">
      <alignment horizontal="center"/>
    </xf>
    <xf numFmtId="3" fontId="2" fillId="28" borderId="50" xfId="0" applyNumberFormat="1" applyFont="1" applyFill="1" applyBorder="1" applyAlignment="1">
      <alignment horizontal="center"/>
    </xf>
    <xf numFmtId="0" fontId="2" fillId="28" borderId="51" xfId="0" applyFont="1" applyFill="1" applyBorder="1" applyAlignment="1">
      <alignment horizontal="center"/>
    </xf>
    <xf numFmtId="0" fontId="2" fillId="28" borderId="63" xfId="0" applyFont="1" applyFill="1" applyBorder="1" applyAlignment="1">
      <alignment horizontal="center"/>
    </xf>
    <xf numFmtId="0" fontId="2" fillId="28" borderId="64" xfId="0" applyFont="1" applyFill="1" applyBorder="1" applyAlignment="1">
      <alignment horizontal="center"/>
    </xf>
    <xf numFmtId="3" fontId="2" fillId="0" borderId="63" xfId="0" applyNumberFormat="1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/>
    </xf>
    <xf numFmtId="0" fontId="2" fillId="0" borderId="68" xfId="0" applyFont="1" applyFill="1" applyBorder="1" applyAlignment="1">
      <alignment horizontal="center"/>
    </xf>
    <xf numFmtId="0" fontId="2" fillId="26" borderId="69" xfId="0" applyFont="1" applyFill="1" applyBorder="1" applyAlignment="1">
      <alignment horizontal="center"/>
    </xf>
    <xf numFmtId="0" fontId="2" fillId="0" borderId="22" xfId="0" applyFont="1" applyBorder="1"/>
    <xf numFmtId="0" fontId="2" fillId="26" borderId="70" xfId="0" applyFont="1" applyFill="1" applyBorder="1" applyAlignment="1">
      <alignment horizontal="center"/>
    </xf>
    <xf numFmtId="0" fontId="2" fillId="26" borderId="71" xfId="0" applyFont="1" applyFill="1" applyBorder="1" applyAlignment="1">
      <alignment horizontal="center"/>
    </xf>
    <xf numFmtId="0" fontId="0" fillId="0" borderId="22" xfId="0" applyFill="1" applyBorder="1"/>
    <xf numFmtId="0" fontId="31" fillId="0" borderId="0" xfId="0" applyFont="1" applyFill="1" applyBorder="1"/>
    <xf numFmtId="0" fontId="2" fillId="25" borderId="69" xfId="0" applyFont="1" applyFill="1" applyBorder="1" applyAlignment="1">
      <alignment horizontal="center"/>
    </xf>
    <xf numFmtId="0" fontId="2" fillId="25" borderId="72" xfId="0" applyFont="1" applyFill="1" applyBorder="1"/>
    <xf numFmtId="0" fontId="2" fillId="25" borderId="71" xfId="0" applyFont="1" applyFill="1" applyBorder="1"/>
    <xf numFmtId="0" fontId="2" fillId="0" borderId="38" xfId="0" applyFont="1" applyFill="1" applyBorder="1" applyAlignment="1">
      <alignment horizontal="center"/>
    </xf>
    <xf numFmtId="0" fontId="2" fillId="0" borderId="6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3" xfId="0" applyFont="1" applyFill="1" applyBorder="1" applyAlignment="1">
      <alignment horizontal="left"/>
    </xf>
    <xf numFmtId="0" fontId="2" fillId="27" borderId="74" xfId="0" applyFont="1" applyFill="1" applyBorder="1" applyAlignment="1">
      <alignment horizontal="center"/>
    </xf>
    <xf numFmtId="0" fontId="2" fillId="27" borderId="75" xfId="0" applyFont="1" applyFill="1" applyBorder="1" applyAlignment="1">
      <alignment horizontal="center"/>
    </xf>
    <xf numFmtId="0" fontId="2" fillId="27" borderId="57" xfId="0" applyFont="1" applyFill="1" applyBorder="1"/>
    <xf numFmtId="0" fontId="2" fillId="27" borderId="37" xfId="0" applyFont="1" applyFill="1" applyBorder="1"/>
    <xf numFmtId="0" fontId="2" fillId="27" borderId="62" xfId="0" applyFont="1" applyFill="1" applyBorder="1"/>
    <xf numFmtId="0" fontId="2" fillId="27" borderId="76" xfId="0" applyFont="1" applyFill="1" applyBorder="1" applyAlignment="1">
      <alignment horizontal="center"/>
    </xf>
    <xf numFmtId="0" fontId="2" fillId="27" borderId="77" xfId="0" applyFont="1" applyFill="1" applyBorder="1" applyAlignment="1">
      <alignment horizontal="center"/>
    </xf>
    <xf numFmtId="0" fontId="2" fillId="27" borderId="78" xfId="0" applyFont="1" applyFill="1" applyBorder="1"/>
    <xf numFmtId="0" fontId="2" fillId="27" borderId="79" xfId="0" applyFont="1" applyFill="1" applyBorder="1"/>
    <xf numFmtId="0" fontId="2" fillId="27" borderId="80" xfId="0" applyFont="1" applyFill="1" applyBorder="1"/>
    <xf numFmtId="0" fontId="0" fillId="0" borderId="0" xfId="0" applyBorder="1" applyAlignment="1">
      <alignment horizontal="center"/>
    </xf>
    <xf numFmtId="0" fontId="31" fillId="0" borderId="47" xfId="0" applyFont="1" applyBorder="1"/>
    <xf numFmtId="0" fontId="32" fillId="0" borderId="23" xfId="0" applyFont="1" applyBorder="1"/>
    <xf numFmtId="0" fontId="5" fillId="0" borderId="0" xfId="0" applyFont="1" applyFill="1" applyBorder="1" applyAlignment="1">
      <alignment horizontal="left"/>
    </xf>
    <xf numFmtId="0" fontId="0" fillId="0" borderId="78" xfId="0" applyBorder="1"/>
    <xf numFmtId="0" fontId="0" fillId="0" borderId="79" xfId="0" applyBorder="1"/>
    <xf numFmtId="0" fontId="33" fillId="0" borderId="79" xfId="0" applyFont="1" applyFill="1" applyBorder="1" applyAlignment="1">
      <alignment horizontal="right"/>
    </xf>
    <xf numFmtId="0" fontId="5" fillId="31" borderId="19" xfId="0" applyFont="1" applyFill="1" applyBorder="1" applyAlignment="1">
      <alignment horizontal="left"/>
    </xf>
    <xf numFmtId="0" fontId="2" fillId="28" borderId="18" xfId="0" applyFont="1" applyFill="1" applyBorder="1" applyAlignment="1">
      <alignment horizontal="center"/>
    </xf>
    <xf numFmtId="0" fontId="2" fillId="28" borderId="16" xfId="0" applyFont="1" applyFill="1" applyBorder="1" applyAlignment="1">
      <alignment horizontal="center"/>
    </xf>
    <xf numFmtId="0" fontId="2" fillId="28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8" borderId="14" xfId="0" applyFont="1" applyFill="1" applyBorder="1" applyAlignment="1">
      <alignment horizontal="center"/>
    </xf>
    <xf numFmtId="0" fontId="31" fillId="0" borderId="23" xfId="0" applyFont="1" applyBorder="1" applyAlignment="1">
      <alignment horizontal="center"/>
    </xf>
    <xf numFmtId="3" fontId="2" fillId="27" borderId="0" xfId="0" applyNumberFormat="1" applyFont="1" applyFill="1" applyBorder="1" applyAlignment="1">
      <alignment horizontal="center"/>
    </xf>
    <xf numFmtId="0" fontId="2" fillId="27" borderId="0" xfId="0" applyFont="1" applyFill="1" applyBorder="1" applyAlignment="1">
      <alignment horizontal="center"/>
    </xf>
    <xf numFmtId="0" fontId="31" fillId="27" borderId="0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3" xfId="0" applyFont="1" applyBorder="1"/>
    <xf numFmtId="0" fontId="0" fillId="0" borderId="0" xfId="0" applyFill="1" applyBorder="1" applyAlignment="1">
      <alignment horizontal="center"/>
    </xf>
    <xf numFmtId="0" fontId="8" fillId="0" borderId="81" xfId="0" applyFont="1" applyBorder="1" applyAlignment="1">
      <alignment horizontal="center"/>
    </xf>
    <xf numFmtId="0" fontId="0" fillId="0" borderId="44" xfId="0" applyBorder="1"/>
    <xf numFmtId="0" fontId="0" fillId="0" borderId="44" xfId="0" applyBorder="1" applyAlignment="1">
      <alignment horizontal="right"/>
    </xf>
    <xf numFmtId="0" fontId="0" fillId="0" borderId="6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81" xfId="0" applyBorder="1" applyAlignment="1">
      <alignment horizontal="center"/>
    </xf>
    <xf numFmtId="0" fontId="0" fillId="0" borderId="81" xfId="0" applyBorder="1" applyAlignment="1"/>
    <xf numFmtId="0" fontId="8" fillId="0" borderId="44" xfId="0" applyFont="1" applyBorder="1" applyAlignment="1">
      <alignment horizontal="center"/>
    </xf>
    <xf numFmtId="0" fontId="2" fillId="0" borderId="82" xfId="0" applyFont="1" applyBorder="1" applyAlignment="1"/>
    <xf numFmtId="0" fontId="2" fillId="0" borderId="83" xfId="0" applyFont="1" applyBorder="1" applyAlignment="1"/>
    <xf numFmtId="0" fontId="2" fillId="0" borderId="79" xfId="0" applyFont="1" applyBorder="1" applyAlignment="1"/>
    <xf numFmtId="0" fontId="2" fillId="0" borderId="70" xfId="0" applyFont="1" applyBorder="1" applyAlignment="1"/>
    <xf numFmtId="0" fontId="2" fillId="0" borderId="72" xfId="0" applyFont="1" applyBorder="1" applyAlignment="1"/>
    <xf numFmtId="0" fontId="2" fillId="0" borderId="71" xfId="0" applyFont="1" applyBorder="1" applyAlignment="1"/>
    <xf numFmtId="0" fontId="31" fillId="0" borderId="37" xfId="0" applyFont="1" applyFill="1" applyBorder="1" applyAlignment="1">
      <alignment horizontal="left"/>
    </xf>
    <xf numFmtId="0" fontId="2" fillId="0" borderId="84" xfId="0" applyFont="1" applyFill="1" applyBorder="1" applyAlignment="1">
      <alignment horizontal="center"/>
    </xf>
    <xf numFmtId="0" fontId="2" fillId="24" borderId="85" xfId="0" applyFont="1" applyFill="1" applyBorder="1" applyAlignment="1">
      <alignment horizontal="center"/>
    </xf>
    <xf numFmtId="0" fontId="2" fillId="24" borderId="86" xfId="0" applyFont="1" applyFill="1" applyBorder="1" applyAlignment="1">
      <alignment horizontal="center"/>
    </xf>
    <xf numFmtId="0" fontId="2" fillId="30" borderId="87" xfId="0" applyFont="1" applyFill="1" applyBorder="1" applyAlignment="1">
      <alignment horizontal="center"/>
    </xf>
    <xf numFmtId="0" fontId="2" fillId="31" borderId="71" xfId="0" applyFont="1" applyFill="1" applyBorder="1" applyAlignment="1">
      <alignment horizontal="center"/>
    </xf>
    <xf numFmtId="0" fontId="2" fillId="26" borderId="86" xfId="0" applyFont="1" applyFill="1" applyBorder="1" applyAlignment="1">
      <alignment horizontal="center"/>
    </xf>
    <xf numFmtId="0" fontId="2" fillId="31" borderId="86" xfId="0" applyFont="1" applyFill="1" applyBorder="1" applyAlignment="1">
      <alignment horizontal="center"/>
    </xf>
    <xf numFmtId="0" fontId="2" fillId="0" borderId="86" xfId="0" applyFont="1" applyFill="1" applyBorder="1" applyAlignment="1">
      <alignment horizontal="center"/>
    </xf>
    <xf numFmtId="0" fontId="2" fillId="0" borderId="84" xfId="0" applyFont="1" applyBorder="1"/>
    <xf numFmtId="0" fontId="2" fillId="0" borderId="23" xfId="0" applyFont="1" applyFill="1" applyBorder="1" applyAlignment="1">
      <alignment horizontal="center"/>
    </xf>
    <xf numFmtId="0" fontId="2" fillId="30" borderId="88" xfId="0" applyFont="1" applyFill="1" applyBorder="1" applyAlignment="1">
      <alignment horizontal="center"/>
    </xf>
    <xf numFmtId="0" fontId="2" fillId="30" borderId="89" xfId="0" applyFont="1" applyFill="1" applyBorder="1" applyAlignment="1">
      <alignment horizontal="center"/>
    </xf>
    <xf numFmtId="3" fontId="2" fillId="31" borderId="71" xfId="0" applyNumberFormat="1" applyFont="1" applyFill="1" applyBorder="1" applyAlignment="1">
      <alignment horizontal="center"/>
    </xf>
    <xf numFmtId="0" fontId="2" fillId="32" borderId="69" xfId="0" applyFont="1" applyFill="1" applyBorder="1" applyAlignment="1">
      <alignment horizontal="center"/>
    </xf>
    <xf numFmtId="0" fontId="2" fillId="0" borderId="23" xfId="0" applyFont="1" applyFill="1" applyBorder="1"/>
    <xf numFmtId="0" fontId="2" fillId="24" borderId="90" xfId="0" applyFont="1" applyFill="1" applyBorder="1" applyAlignment="1">
      <alignment horizontal="center"/>
    </xf>
    <xf numFmtId="0" fontId="2" fillId="24" borderId="91" xfId="0" applyFont="1" applyFill="1" applyBorder="1" applyAlignment="1">
      <alignment horizontal="center"/>
    </xf>
    <xf numFmtId="3" fontId="2" fillId="30" borderId="92" xfId="0" applyNumberFormat="1" applyFont="1" applyFill="1" applyBorder="1" applyAlignment="1">
      <alignment horizontal="center"/>
    </xf>
    <xf numFmtId="3" fontId="2" fillId="30" borderId="93" xfId="0" applyNumberFormat="1" applyFont="1" applyFill="1" applyBorder="1"/>
    <xf numFmtId="0" fontId="2" fillId="26" borderId="94" xfId="0" applyFont="1" applyFill="1" applyBorder="1" applyAlignment="1">
      <alignment horizontal="center"/>
    </xf>
    <xf numFmtId="0" fontId="2" fillId="26" borderId="31" xfId="0" applyFont="1" applyFill="1" applyBorder="1" applyAlignment="1">
      <alignment horizontal="center"/>
    </xf>
    <xf numFmtId="3" fontId="2" fillId="31" borderId="94" xfId="0" applyNumberFormat="1" applyFont="1" applyFill="1" applyBorder="1" applyAlignment="1">
      <alignment horizontal="center"/>
    </xf>
    <xf numFmtId="3" fontId="2" fillId="30" borderId="90" xfId="0" applyNumberFormat="1" applyFont="1" applyFill="1" applyBorder="1" applyAlignment="1">
      <alignment horizontal="center"/>
    </xf>
    <xf numFmtId="0" fontId="2" fillId="26" borderId="95" xfId="0" applyFont="1" applyFill="1" applyBorder="1" applyAlignment="1">
      <alignment horizontal="center"/>
    </xf>
    <xf numFmtId="3" fontId="2" fillId="31" borderId="96" xfId="0" applyNumberFormat="1" applyFont="1" applyFill="1" applyBorder="1" applyAlignment="1">
      <alignment horizontal="center"/>
    </xf>
    <xf numFmtId="3" fontId="2" fillId="0" borderId="91" xfId="0" applyNumberFormat="1" applyFont="1" applyFill="1" applyBorder="1" applyAlignment="1">
      <alignment horizontal="center"/>
    </xf>
    <xf numFmtId="0" fontId="2" fillId="24" borderId="33" xfId="0" applyFont="1" applyFill="1" applyBorder="1" applyAlignment="1">
      <alignment horizontal="center"/>
    </xf>
    <xf numFmtId="0" fontId="2" fillId="30" borderId="97" xfId="0" applyFont="1" applyFill="1" applyBorder="1" applyAlignment="1">
      <alignment horizontal="center"/>
    </xf>
    <xf numFmtId="0" fontId="2" fillId="26" borderId="98" xfId="0" applyFont="1" applyFill="1" applyBorder="1" applyAlignment="1">
      <alignment horizontal="center"/>
    </xf>
    <xf numFmtId="0" fontId="2" fillId="26" borderId="43" xfId="0" applyFont="1" applyFill="1" applyBorder="1" applyAlignment="1">
      <alignment horizontal="center"/>
    </xf>
    <xf numFmtId="0" fontId="2" fillId="31" borderId="98" xfId="0" applyFont="1" applyFill="1" applyBorder="1" applyAlignment="1">
      <alignment horizontal="center"/>
    </xf>
    <xf numFmtId="0" fontId="2" fillId="30" borderId="43" xfId="0" applyFont="1" applyFill="1" applyBorder="1" applyAlignment="1">
      <alignment horizontal="center"/>
    </xf>
    <xf numFmtId="0" fontId="2" fillId="26" borderId="99" xfId="0" applyFont="1" applyFill="1" applyBorder="1" applyAlignment="1">
      <alignment horizontal="center"/>
    </xf>
    <xf numFmtId="0" fontId="2" fillId="31" borderId="100" xfId="0" applyFont="1" applyFill="1" applyBorder="1" applyAlignment="1">
      <alignment horizontal="center"/>
    </xf>
    <xf numFmtId="0" fontId="2" fillId="26" borderId="34" xfId="0" applyFont="1" applyFill="1" applyBorder="1" applyAlignment="1">
      <alignment horizontal="center"/>
    </xf>
    <xf numFmtId="0" fontId="2" fillId="31" borderId="99" xfId="0" applyFont="1" applyFill="1" applyBorder="1" applyAlignment="1">
      <alignment horizontal="center"/>
    </xf>
    <xf numFmtId="0" fontId="2" fillId="24" borderId="81" xfId="0" applyFont="1" applyFill="1" applyBorder="1" applyAlignment="1">
      <alignment horizontal="center"/>
    </xf>
    <xf numFmtId="0" fontId="2" fillId="26" borderId="77" xfId="0" applyFont="1" applyFill="1" applyBorder="1" applyAlignment="1">
      <alignment horizontal="center"/>
    </xf>
    <xf numFmtId="0" fontId="2" fillId="26" borderId="79" xfId="0" applyFont="1" applyFill="1" applyBorder="1" applyAlignment="1">
      <alignment horizontal="center"/>
    </xf>
    <xf numFmtId="0" fontId="2" fillId="31" borderId="77" xfId="0" applyFont="1" applyFill="1" applyBorder="1" applyAlignment="1">
      <alignment horizontal="center"/>
    </xf>
    <xf numFmtId="0" fontId="2" fillId="26" borderId="101" xfId="0" applyFont="1" applyFill="1" applyBorder="1" applyAlignment="1">
      <alignment horizontal="center"/>
    </xf>
    <xf numFmtId="0" fontId="2" fillId="31" borderId="102" xfId="0" applyFont="1" applyFill="1" applyBorder="1" applyAlignment="1">
      <alignment horizontal="center"/>
    </xf>
    <xf numFmtId="0" fontId="2" fillId="24" borderId="103" xfId="0" applyFont="1" applyFill="1" applyBorder="1" applyAlignment="1">
      <alignment horizontal="center"/>
    </xf>
    <xf numFmtId="0" fontId="2" fillId="31" borderId="30" xfId="0" applyFont="1" applyFill="1" applyBorder="1" applyAlignment="1">
      <alignment horizontal="center"/>
    </xf>
    <xf numFmtId="0" fontId="2" fillId="0" borderId="23" xfId="0" applyFont="1" applyFill="1" applyBorder="1" applyAlignment="1"/>
    <xf numFmtId="0" fontId="34" fillId="0" borderId="23" xfId="0" applyFont="1" applyBorder="1" applyAlignment="1">
      <alignment horizontal="left" vertical="center" readingOrder="1"/>
    </xf>
    <xf numFmtId="0" fontId="35" fillId="0" borderId="0" xfId="0" applyFont="1" applyBorder="1" applyAlignment="1">
      <alignment horizontal="left" vertical="center" readingOrder="1"/>
    </xf>
    <xf numFmtId="0" fontId="2" fillId="25" borderId="59" xfId="0" applyFont="1" applyFill="1" applyBorder="1" applyAlignment="1">
      <alignment horizontal="center"/>
    </xf>
    <xf numFmtId="0" fontId="2" fillId="25" borderId="38" xfId="0" applyFont="1" applyFill="1" applyBorder="1"/>
    <xf numFmtId="0" fontId="2" fillId="25" borderId="60" xfId="0" applyFont="1" applyFill="1" applyBorder="1"/>
    <xf numFmtId="0" fontId="2" fillId="25" borderId="70" xfId="0" applyFont="1" applyFill="1" applyBorder="1" applyAlignment="1"/>
    <xf numFmtId="0" fontId="2" fillId="25" borderId="71" xfId="0" applyFont="1" applyFill="1" applyBorder="1" applyAlignment="1">
      <alignment horizontal="center"/>
    </xf>
    <xf numFmtId="0" fontId="0" fillId="23" borderId="0" xfId="0" applyFill="1" applyBorder="1"/>
    <xf numFmtId="0" fontId="0" fillId="23" borderId="23" xfId="0" applyFill="1" applyBorder="1"/>
    <xf numFmtId="0" fontId="2" fillId="25" borderId="63" xfId="0" applyFont="1" applyFill="1" applyBorder="1" applyAlignment="1">
      <alignment horizontal="center"/>
    </xf>
    <xf numFmtId="0" fontId="2" fillId="25" borderId="97" xfId="0" applyFont="1" applyFill="1" applyBorder="1"/>
    <xf numFmtId="0" fontId="2" fillId="25" borderId="100" xfId="0" applyFont="1" applyFill="1" applyBorder="1"/>
    <xf numFmtId="0" fontId="2" fillId="25" borderId="88" xfId="0" applyFont="1" applyFill="1" applyBorder="1" applyAlignment="1">
      <alignment horizontal="center"/>
    </xf>
    <xf numFmtId="0" fontId="2" fillId="25" borderId="104" xfId="0" applyFont="1" applyFill="1" applyBorder="1"/>
    <xf numFmtId="0" fontId="2" fillId="25" borderId="86" xfId="0" applyFont="1" applyFill="1" applyBorder="1"/>
    <xf numFmtId="0" fontId="34" fillId="0" borderId="0" xfId="0" applyFont="1" applyBorder="1" applyAlignment="1">
      <alignment horizontal="left" vertical="center" readingOrder="1"/>
    </xf>
    <xf numFmtId="0" fontId="2" fillId="25" borderId="70" xfId="0" applyFont="1" applyFill="1" applyBorder="1" applyAlignment="1">
      <alignment horizontal="center"/>
    </xf>
    <xf numFmtId="167" fontId="2" fillId="0" borderId="23" xfId="34" applyNumberFormat="1" applyFont="1" applyFill="1" applyBorder="1" applyAlignment="1">
      <alignment horizontal="center"/>
    </xf>
    <xf numFmtId="167" fontId="2" fillId="25" borderId="71" xfId="34" applyNumberFormat="1" applyFont="1" applyFill="1" applyBorder="1" applyAlignment="1">
      <alignment horizontal="center"/>
    </xf>
    <xf numFmtId="0" fontId="2" fillId="27" borderId="57" xfId="0" applyFont="1" applyFill="1" applyBorder="1" applyAlignment="1">
      <alignment horizontal="center"/>
    </xf>
    <xf numFmtId="0" fontId="2" fillId="27" borderId="37" xfId="0" applyFont="1" applyFill="1" applyBorder="1" applyAlignment="1">
      <alignment horizontal="center"/>
    </xf>
    <xf numFmtId="0" fontId="2" fillId="27" borderId="78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left"/>
    </xf>
    <xf numFmtId="0" fontId="33" fillId="0" borderId="20" xfId="0" applyFont="1" applyFill="1" applyBorder="1" applyAlignment="1">
      <alignment horizontal="right"/>
    </xf>
    <xf numFmtId="0" fontId="33" fillId="0" borderId="19" xfId="0" applyFont="1" applyFill="1" applyBorder="1" applyAlignment="1">
      <alignment horizontal="right"/>
    </xf>
    <xf numFmtId="0" fontId="5" fillId="31" borderId="21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31" fillId="0" borderId="0" xfId="0" applyFont="1"/>
    <xf numFmtId="166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27" borderId="105" xfId="0" applyFont="1" applyFill="1" applyBorder="1" applyAlignment="1">
      <alignment horizontal="left"/>
    </xf>
    <xf numFmtId="0" fontId="2" fillId="27" borderId="106" xfId="0" applyFont="1" applyFill="1" applyBorder="1" applyAlignment="1">
      <alignment horizontal="left"/>
    </xf>
    <xf numFmtId="0" fontId="2" fillId="27" borderId="106" xfId="0" applyFont="1" applyFill="1" applyBorder="1" applyAlignment="1">
      <alignment horizontal="center"/>
    </xf>
    <xf numFmtId="0" fontId="2" fillId="27" borderId="107" xfId="0" applyFont="1" applyFill="1" applyBorder="1" applyAlignment="1">
      <alignment horizontal="center"/>
    </xf>
    <xf numFmtId="0" fontId="2" fillId="27" borderId="105" xfId="0" applyFont="1" applyFill="1" applyBorder="1" applyAlignment="1">
      <alignment horizontal="center"/>
    </xf>
    <xf numFmtId="0" fontId="2" fillId="27" borderId="108" xfId="0" applyFont="1" applyFill="1" applyBorder="1" applyAlignment="1">
      <alignment horizontal="center"/>
    </xf>
    <xf numFmtId="1" fontId="2" fillId="27" borderId="11" xfId="0" applyNumberFormat="1" applyFont="1" applyFill="1" applyBorder="1" applyAlignment="1">
      <alignment horizontal="center"/>
    </xf>
    <xf numFmtId="0" fontId="2" fillId="27" borderId="21" xfId="0" applyFont="1" applyFill="1" applyBorder="1" applyAlignment="1">
      <alignment horizontal="center"/>
    </xf>
    <xf numFmtId="0" fontId="2" fillId="0" borderId="0" xfId="0" applyFont="1" applyFill="1" applyBorder="1" applyAlignment="1"/>
    <xf numFmtId="168" fontId="2" fillId="0" borderId="0" xfId="0" applyNumberFormat="1" applyFont="1" applyFill="1" applyBorder="1" applyAlignment="1">
      <alignment horizontal="center"/>
    </xf>
    <xf numFmtId="0" fontId="2" fillId="27" borderId="109" xfId="0" applyFont="1" applyFill="1" applyBorder="1" applyAlignment="1">
      <alignment horizontal="left"/>
    </xf>
    <xf numFmtId="0" fontId="2" fillId="27" borderId="44" xfId="0" applyFont="1" applyFill="1" applyBorder="1" applyAlignment="1">
      <alignment horizontal="left"/>
    </xf>
    <xf numFmtId="0" fontId="0" fillId="27" borderId="44" xfId="0" applyFill="1" applyBorder="1"/>
    <xf numFmtId="0" fontId="2" fillId="27" borderId="81" xfId="0" applyFont="1" applyFill="1" applyBorder="1" applyAlignment="1">
      <alignment horizontal="center"/>
    </xf>
    <xf numFmtId="0" fontId="2" fillId="27" borderId="109" xfId="0" applyFont="1" applyFill="1" applyBorder="1" applyAlignment="1">
      <alignment horizontal="center"/>
    </xf>
    <xf numFmtId="0" fontId="2" fillId="27" borderId="44" xfId="0" applyFont="1" applyFill="1" applyBorder="1" applyAlignment="1">
      <alignment horizontal="center"/>
    </xf>
    <xf numFmtId="0" fontId="2" fillId="27" borderId="35" xfId="0" applyFont="1" applyFill="1" applyBorder="1" applyAlignment="1">
      <alignment horizontal="center"/>
    </xf>
    <xf numFmtId="1" fontId="2" fillId="27" borderId="14" xfId="0" applyNumberFormat="1" applyFont="1" applyFill="1" applyBorder="1" applyAlignment="1">
      <alignment horizontal="center"/>
    </xf>
    <xf numFmtId="0" fontId="2" fillId="27" borderId="110" xfId="0" applyFont="1" applyFill="1" applyBorder="1" applyAlignment="1">
      <alignment horizontal="center"/>
    </xf>
    <xf numFmtId="0" fontId="2" fillId="0" borderId="0" xfId="0" quotePrefix="1" applyFont="1" applyFill="1" applyBorder="1"/>
    <xf numFmtId="0" fontId="0" fillId="0" borderId="0" xfId="0" applyFill="1"/>
    <xf numFmtId="3" fontId="2" fillId="0" borderId="0" xfId="0" applyNumberFormat="1" applyFont="1" applyFill="1" applyBorder="1" applyAlignment="1">
      <alignment horizontal="left"/>
    </xf>
    <xf numFmtId="168" fontId="2" fillId="25" borderId="14" xfId="0" applyNumberFormat="1" applyFont="1" applyFill="1" applyBorder="1"/>
    <xf numFmtId="168" fontId="2" fillId="25" borderId="10" xfId="0" applyNumberFormat="1" applyFont="1" applyFill="1" applyBorder="1"/>
    <xf numFmtId="0" fontId="0" fillId="25" borderId="10" xfId="0" applyFill="1" applyBorder="1"/>
    <xf numFmtId="168" fontId="2" fillId="25" borderId="33" xfId="0" quotePrefix="1" applyNumberFormat="1" applyFont="1" applyFill="1" applyBorder="1" applyAlignment="1">
      <alignment horizontal="center"/>
    </xf>
    <xf numFmtId="3" fontId="2" fillId="25" borderId="14" xfId="0" quotePrefix="1" applyNumberFormat="1" applyFont="1" applyFill="1" applyBorder="1" applyAlignment="1">
      <alignment horizontal="center"/>
    </xf>
    <xf numFmtId="3" fontId="2" fillId="25" borderId="10" xfId="0" quotePrefix="1" applyNumberFormat="1" applyFont="1" applyFill="1" applyBorder="1" applyAlignment="1">
      <alignment horizontal="center"/>
    </xf>
    <xf numFmtId="168" fontId="2" fillId="25" borderId="15" xfId="0" quotePrefix="1" applyNumberFormat="1" applyFont="1" applyFill="1" applyBorder="1" applyAlignment="1">
      <alignment horizontal="center"/>
    </xf>
    <xf numFmtId="167" fontId="2" fillId="25" borderId="111" xfId="0" quotePrefix="1" applyNumberFormat="1" applyFont="1" applyFill="1" applyBorder="1" applyAlignment="1">
      <alignment horizontal="center"/>
    </xf>
    <xf numFmtId="3" fontId="2" fillId="0" borderId="112" xfId="0" applyNumberFormat="1" applyFont="1" applyFill="1" applyBorder="1" applyAlignment="1"/>
    <xf numFmtId="3" fontId="2" fillId="0" borderId="31" xfId="0" applyNumberFormat="1" applyFont="1" applyFill="1" applyBorder="1" applyAlignment="1"/>
    <xf numFmtId="3" fontId="2" fillId="0" borderId="113" xfId="0" applyNumberFormat="1" applyFont="1" applyFill="1" applyBorder="1" applyAlignment="1"/>
    <xf numFmtId="168" fontId="2" fillId="25" borderId="16" xfId="0" applyNumberFormat="1" applyFont="1" applyFill="1" applyBorder="1"/>
    <xf numFmtId="168" fontId="2" fillId="25" borderId="17" xfId="0" applyNumberFormat="1" applyFont="1" applyFill="1" applyBorder="1"/>
    <xf numFmtId="0" fontId="0" fillId="25" borderId="17" xfId="0" applyFill="1" applyBorder="1"/>
    <xf numFmtId="168" fontId="2" fillId="25" borderId="53" xfId="0" quotePrefix="1" applyNumberFormat="1" applyFont="1" applyFill="1" applyBorder="1" applyAlignment="1">
      <alignment horizontal="center"/>
    </xf>
    <xf numFmtId="1" fontId="2" fillId="25" borderId="16" xfId="0" quotePrefix="1" applyNumberFormat="1" applyFont="1" applyFill="1" applyBorder="1" applyAlignment="1">
      <alignment horizontal="center"/>
    </xf>
    <xf numFmtId="1" fontId="2" fillId="25" borderId="17" xfId="0" quotePrefix="1" applyNumberFormat="1" applyFont="1" applyFill="1" applyBorder="1" applyAlignment="1">
      <alignment horizontal="center"/>
    </xf>
    <xf numFmtId="166" fontId="2" fillId="25" borderId="17" xfId="0" quotePrefix="1" applyNumberFormat="1" applyFont="1" applyFill="1" applyBorder="1" applyAlignment="1">
      <alignment horizontal="center"/>
    </xf>
    <xf numFmtId="168" fontId="2" fillId="25" borderId="18" xfId="0" quotePrefix="1" applyNumberFormat="1" applyFont="1" applyFill="1" applyBorder="1" applyAlignment="1">
      <alignment horizontal="center"/>
    </xf>
    <xf numFmtId="167" fontId="2" fillId="25" borderId="114" xfId="0" quotePrefix="1" applyNumberFormat="1" applyFont="1" applyFill="1" applyBorder="1" applyAlignment="1">
      <alignment horizontal="center"/>
    </xf>
    <xf numFmtId="3" fontId="2" fillId="25" borderId="115" xfId="0" applyNumberFormat="1" applyFont="1" applyFill="1" applyBorder="1" applyAlignment="1">
      <alignment horizontal="left"/>
    </xf>
    <xf numFmtId="3" fontId="2" fillId="25" borderId="116" xfId="0" applyNumberFormat="1" applyFont="1" applyFill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8" fillId="0" borderId="0" xfId="0" applyFont="1" applyBorder="1"/>
    <xf numFmtId="0" fontId="2" fillId="33" borderId="0" xfId="0" applyFont="1" applyFill="1" applyBorder="1" applyAlignment="1">
      <alignment horizontal="center"/>
    </xf>
    <xf numFmtId="0" fontId="0" fillId="33" borderId="0" xfId="0" applyFill="1" applyBorder="1"/>
    <xf numFmtId="0" fontId="0" fillId="33" borderId="22" xfId="0" applyFill="1" applyBorder="1"/>
    <xf numFmtId="0" fontId="3" fillId="0" borderId="0" xfId="0" applyFont="1" applyBorder="1"/>
    <xf numFmtId="0" fontId="2" fillId="25" borderId="0" xfId="0" applyFont="1" applyFill="1" applyBorder="1" applyAlignment="1">
      <alignment horizontal="center"/>
    </xf>
    <xf numFmtId="1" fontId="2" fillId="25" borderId="0" xfId="0" applyNumberFormat="1" applyFont="1" applyFill="1" applyBorder="1" applyAlignment="1">
      <alignment horizontal="center"/>
    </xf>
    <xf numFmtId="0" fontId="2" fillId="25" borderId="22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33" borderId="0" xfId="0" applyFont="1" applyFill="1" applyBorder="1" applyAlignment="1">
      <alignment horizontal="left"/>
    </xf>
    <xf numFmtId="0" fontId="31" fillId="0" borderId="23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28" borderId="23" xfId="0" applyFont="1" applyFill="1" applyBorder="1" applyAlignment="1">
      <alignment horizontal="center"/>
    </xf>
    <xf numFmtId="166" fontId="2" fillId="28" borderId="0" xfId="0" applyNumberFormat="1" applyFont="1" applyFill="1" applyBorder="1" applyAlignment="1">
      <alignment horizontal="center"/>
    </xf>
    <xf numFmtId="0" fontId="2" fillId="28" borderId="0" xfId="0" applyFont="1" applyFill="1" applyBorder="1" applyAlignment="1">
      <alignment horizontal="center"/>
    </xf>
    <xf numFmtId="168" fontId="2" fillId="33" borderId="0" xfId="0" quotePrefix="1" applyNumberFormat="1" applyFont="1" applyFill="1" applyBorder="1" applyAlignment="1">
      <alignment horizontal="center"/>
    </xf>
    <xf numFmtId="1" fontId="2" fillId="33" borderId="0" xfId="0" quotePrefix="1" applyNumberFormat="1" applyFont="1" applyFill="1" applyBorder="1" applyAlignment="1">
      <alignment horizontal="center"/>
    </xf>
    <xf numFmtId="1" fontId="2" fillId="25" borderId="0" xfId="0" quotePrefix="1" applyNumberFormat="1" applyFont="1" applyFill="1" applyBorder="1" applyAlignment="1">
      <alignment horizontal="center"/>
    </xf>
    <xf numFmtId="166" fontId="2" fillId="25" borderId="0" xfId="0" quotePrefix="1" applyNumberFormat="1" applyFont="1" applyFill="1" applyBorder="1" applyAlignment="1">
      <alignment horizontal="center"/>
    </xf>
    <xf numFmtId="167" fontId="2" fillId="25" borderId="0" xfId="0" applyNumberFormat="1" applyFont="1" applyFill="1" applyBorder="1" applyAlignment="1">
      <alignment horizontal="center"/>
    </xf>
    <xf numFmtId="168" fontId="2" fillId="33" borderId="0" xfId="0" applyNumberFormat="1" applyFont="1" applyFill="1" applyBorder="1" applyAlignment="1">
      <alignment horizontal="center"/>
    </xf>
    <xf numFmtId="3" fontId="2" fillId="33" borderId="0" xfId="0" applyNumberFormat="1" applyFont="1" applyFill="1" applyBorder="1" applyAlignment="1">
      <alignment horizontal="center"/>
    </xf>
    <xf numFmtId="3" fontId="2" fillId="25" borderId="0" xfId="0" applyNumberFormat="1" applyFont="1" applyFill="1" applyBorder="1" applyAlignment="1">
      <alignment horizontal="center"/>
    </xf>
    <xf numFmtId="168" fontId="2" fillId="25" borderId="0" xfId="0" applyNumberFormat="1" applyFont="1" applyFill="1" applyBorder="1" applyAlignment="1">
      <alignment horizontal="center"/>
    </xf>
    <xf numFmtId="168" fontId="2" fillId="24" borderId="0" xfId="0" applyNumberFormat="1" applyFont="1" applyFill="1" applyBorder="1" applyAlignment="1">
      <alignment horizontal="center"/>
    </xf>
    <xf numFmtId="166" fontId="2" fillId="25" borderId="0" xfId="0" applyNumberFormat="1" applyFont="1" applyFill="1" applyBorder="1" applyAlignment="1">
      <alignment horizontal="center"/>
    </xf>
    <xf numFmtId="167" fontId="2" fillId="25" borderId="22" xfId="0" applyNumberFormat="1" applyFont="1" applyFill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" fontId="2" fillId="33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31" fillId="0" borderId="23" xfId="0" applyFont="1" applyBorder="1"/>
    <xf numFmtId="0" fontId="8" fillId="0" borderId="0" xfId="0" quotePrefix="1" applyFont="1" applyBorder="1"/>
    <xf numFmtId="0" fontId="8" fillId="0" borderId="0" xfId="0" quotePrefix="1" applyFont="1" applyFill="1" applyBorder="1"/>
    <xf numFmtId="0" fontId="8" fillId="0" borderId="0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" fillId="0" borderId="23" xfId="0" applyFont="1" applyBorder="1"/>
    <xf numFmtId="0" fontId="31" fillId="0" borderId="23" xfId="0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168" fontId="0" fillId="0" borderId="0" xfId="0" applyNumberFormat="1" applyBorder="1"/>
    <xf numFmtId="166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0" fillId="0" borderId="0" xfId="0" applyNumberFormat="1" applyFill="1" applyBorder="1"/>
    <xf numFmtId="1" fontId="0" fillId="0" borderId="0" xfId="0" applyNumberFormat="1" applyBorder="1"/>
    <xf numFmtId="3" fontId="0" fillId="0" borderId="0" xfId="0" applyNumberFormat="1" applyBorder="1"/>
    <xf numFmtId="0" fontId="8" fillId="0" borderId="0" xfId="0" quotePrefix="1" applyFont="1" applyBorder="1" applyAlignment="1">
      <alignment horizontal="left"/>
    </xf>
    <xf numFmtId="164" fontId="26" fillId="0" borderId="0" xfId="1" applyFont="1" applyBorder="1"/>
    <xf numFmtId="164" fontId="8" fillId="0" borderId="0" xfId="1" applyFont="1" applyBorder="1"/>
    <xf numFmtId="0" fontId="8" fillId="0" borderId="0" xfId="0" applyFont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3" fillId="0" borderId="0" xfId="0" applyFont="1" applyBorder="1"/>
    <xf numFmtId="0" fontId="37" fillId="0" borderId="0" xfId="0" applyFont="1" applyBorder="1"/>
    <xf numFmtId="0" fontId="31" fillId="0" borderId="10" xfId="0" applyFont="1" applyFill="1" applyBorder="1" applyAlignment="1">
      <alignment horizontal="center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166" fontId="2" fillId="28" borderId="1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66" fontId="2" fillId="0" borderId="10" xfId="0" applyNumberFormat="1" applyFont="1" applyFill="1" applyBorder="1" applyAlignment="1">
      <alignment horizontal="center"/>
    </xf>
    <xf numFmtId="3" fontId="33" fillId="0" borderId="0" xfId="0" applyNumberFormat="1" applyFont="1" applyBorder="1" applyAlignment="1">
      <alignment horizontal="center"/>
    </xf>
    <xf numFmtId="3" fontId="33" fillId="0" borderId="0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center"/>
    </xf>
    <xf numFmtId="168" fontId="33" fillId="0" borderId="0" xfId="0" applyNumberFormat="1" applyFont="1" applyBorder="1"/>
    <xf numFmtId="3" fontId="33" fillId="0" borderId="0" xfId="0" applyNumberFormat="1" applyFont="1" applyBorder="1"/>
    <xf numFmtId="0" fontId="33" fillId="0" borderId="0" xfId="0" applyFont="1" applyBorder="1" applyAlignment="1">
      <alignment horizontal="left"/>
    </xf>
    <xf numFmtId="166" fontId="2" fillId="28" borderId="17" xfId="0" applyNumberFormat="1" applyFont="1" applyFill="1" applyBorder="1" applyAlignment="1">
      <alignment horizontal="center"/>
    </xf>
    <xf numFmtId="0" fontId="5" fillId="31" borderId="20" xfId="0" applyFont="1" applyFill="1" applyBorder="1" applyAlignment="1">
      <alignment horizontal="center"/>
    </xf>
    <xf numFmtId="3" fontId="2" fillId="24" borderId="69" xfId="0" applyNumberFormat="1" applyFont="1" applyFill="1" applyBorder="1" applyAlignment="1" applyProtection="1">
      <alignment horizontal="center"/>
      <protection locked="0"/>
    </xf>
    <xf numFmtId="0" fontId="2" fillId="35" borderId="51" xfId="0" applyFont="1" applyFill="1" applyBorder="1" applyAlignment="1">
      <alignment horizontal="center"/>
    </xf>
    <xf numFmtId="0" fontId="2" fillId="0" borderId="91" xfId="0" applyFont="1" applyFill="1" applyBorder="1" applyAlignment="1">
      <alignment horizontal="center"/>
    </xf>
    <xf numFmtId="0" fontId="2" fillId="0" borderId="92" xfId="0" applyFont="1" applyFill="1" applyBorder="1" applyAlignment="1">
      <alignment horizontal="center"/>
    </xf>
    <xf numFmtId="0" fontId="2" fillId="28" borderId="50" xfId="0" applyFont="1" applyFill="1" applyBorder="1" applyAlignment="1">
      <alignment horizontal="center"/>
    </xf>
    <xf numFmtId="0" fontId="2" fillId="28" borderId="60" xfId="0" applyFont="1" applyFill="1" applyBorder="1" applyAlignment="1">
      <alignment horizontal="center"/>
    </xf>
    <xf numFmtId="0" fontId="2" fillId="35" borderId="59" xfId="0" applyFont="1" applyFill="1" applyBorder="1" applyAlignment="1">
      <alignment horizontal="center"/>
    </xf>
    <xf numFmtId="14" fontId="36" fillId="31" borderId="20" xfId="0" applyNumberFormat="1" applyFont="1" applyFill="1" applyBorder="1" applyAlignment="1">
      <alignment horizontal="right"/>
    </xf>
    <xf numFmtId="14" fontId="36" fillId="31" borderId="20" xfId="0" applyNumberFormat="1" applyFont="1" applyFill="1" applyBorder="1" applyAlignment="1">
      <alignment horizontal="left"/>
    </xf>
    <xf numFmtId="0" fontId="5" fillId="31" borderId="20" xfId="0" applyFont="1" applyFill="1" applyBorder="1" applyAlignment="1"/>
    <xf numFmtId="0" fontId="5" fillId="31" borderId="24" xfId="0" applyFont="1" applyFill="1" applyBorder="1" applyAlignment="1"/>
    <xf numFmtId="0" fontId="5" fillId="31" borderId="25" xfId="0" applyFont="1" applyFill="1" applyBorder="1" applyAlignment="1"/>
    <xf numFmtId="0" fontId="5" fillId="31" borderId="26" xfId="0" applyFont="1" applyFill="1" applyBorder="1" applyAlignment="1"/>
    <xf numFmtId="0" fontId="2" fillId="27" borderId="33" xfId="0" applyFont="1" applyFill="1" applyBorder="1" applyAlignment="1">
      <alignment horizontal="center"/>
    </xf>
    <xf numFmtId="0" fontId="2" fillId="24" borderId="69" xfId="0" applyFont="1" applyFill="1" applyBorder="1" applyAlignment="1" applyProtection="1">
      <alignment horizontal="center"/>
      <protection locked="0"/>
    </xf>
    <xf numFmtId="166" fontId="2" fillId="24" borderId="69" xfId="0" applyNumberFormat="1" applyFont="1" applyFill="1" applyBorder="1" applyAlignment="1" applyProtection="1">
      <alignment horizontal="center"/>
      <protection locked="0"/>
    </xf>
    <xf numFmtId="2" fontId="1" fillId="0" borderId="10" xfId="32" applyNumberFormat="1" applyBorder="1" applyAlignment="1">
      <alignment horizontal="center" vertical="center"/>
    </xf>
    <xf numFmtId="169" fontId="9" fillId="0" borderId="10" xfId="0" applyNumberFormat="1" applyFont="1" applyFill="1" applyBorder="1" applyAlignment="1" applyProtection="1">
      <alignment horizontal="center" vertical="center"/>
    </xf>
    <xf numFmtId="169" fontId="9" fillId="0" borderId="10" xfId="0" applyNumberFormat="1" applyFont="1" applyBorder="1" applyAlignment="1" applyProtection="1">
      <alignment horizontal="center" vertical="center"/>
    </xf>
    <xf numFmtId="0" fontId="1" fillId="0" borderId="23" xfId="0" applyFont="1" applyBorder="1"/>
    <xf numFmtId="0" fontId="1" fillId="0" borderId="0" xfId="0" applyFont="1" applyBorder="1"/>
    <xf numFmtId="14" fontId="36" fillId="31" borderId="21" xfId="0" applyNumberFormat="1" applyFont="1" applyFill="1" applyBorder="1" applyAlignment="1">
      <alignment horizontal="right"/>
    </xf>
    <xf numFmtId="166" fontId="2" fillId="27" borderId="17" xfId="0" applyNumberFormat="1" applyFont="1" applyFill="1" applyBorder="1" applyAlignment="1">
      <alignment horizontal="center"/>
    </xf>
    <xf numFmtId="167" fontId="2" fillId="25" borderId="132" xfId="35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Fill="1" applyBorder="1" applyAlignment="1">
      <alignment horizontal="left" vertical="center"/>
    </xf>
    <xf numFmtId="166" fontId="2" fillId="27" borderId="10" xfId="0" applyNumberFormat="1" applyFont="1" applyFill="1" applyBorder="1" applyAlignment="1">
      <alignment horizontal="center"/>
    </xf>
    <xf numFmtId="166" fontId="2" fillId="26" borderId="10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/>
    </xf>
    <xf numFmtId="166" fontId="2" fillId="26" borderId="17" xfId="0" applyNumberFormat="1" applyFont="1" applyFill="1" applyBorder="1" applyAlignment="1">
      <alignment horizontal="center"/>
    </xf>
    <xf numFmtId="0" fontId="1" fillId="28" borderId="41" xfId="0" applyFont="1" applyFill="1" applyBorder="1" applyAlignment="1">
      <alignment horizontal="left" vertical="center"/>
    </xf>
    <xf numFmtId="0" fontId="1" fillId="0" borderId="24" xfId="0" applyFont="1" applyBorder="1"/>
    <xf numFmtId="0" fontId="0" fillId="0" borderId="10" xfId="0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2" fontId="38" fillId="0" borderId="10" xfId="0" applyNumberFormat="1" applyFont="1" applyFill="1" applyBorder="1" applyAlignment="1" applyProtection="1">
      <alignment horizontal="center" vertical="center"/>
    </xf>
    <xf numFmtId="3" fontId="1" fillId="0" borderId="10" xfId="32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2" fontId="38" fillId="0" borderId="17" xfId="0" applyNumberFormat="1" applyFont="1" applyFill="1" applyBorder="1" applyAlignment="1" applyProtection="1">
      <alignment horizontal="center" vertical="center"/>
    </xf>
    <xf numFmtId="3" fontId="1" fillId="0" borderId="17" xfId="32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" fontId="2" fillId="26" borderId="15" xfId="0" applyNumberFormat="1" applyFont="1" applyFill="1" applyBorder="1" applyAlignment="1">
      <alignment horizontal="center"/>
    </xf>
    <xf numFmtId="1" fontId="2" fillId="26" borderId="18" xfId="0" applyNumberFormat="1" applyFont="1" applyFill="1" applyBorder="1" applyAlignment="1">
      <alignment horizontal="center"/>
    </xf>
    <xf numFmtId="0" fontId="2" fillId="0" borderId="10" xfId="0" applyFont="1" applyBorder="1" applyAlignment="1"/>
    <xf numFmtId="0" fontId="2" fillId="28" borderId="14" xfId="0" applyFont="1" applyFill="1" applyBorder="1" applyAlignment="1">
      <alignment horizontal="left"/>
    </xf>
    <xf numFmtId="0" fontId="2" fillId="28" borderId="10" xfId="0" applyFont="1" applyFill="1" applyBorder="1" applyAlignment="1">
      <alignment horizontal="left"/>
    </xf>
    <xf numFmtId="0" fontId="2" fillId="28" borderId="10" xfId="0" applyFont="1" applyFill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28" borderId="16" xfId="0" applyFont="1" applyFill="1" applyBorder="1" applyAlignment="1">
      <alignment horizontal="left"/>
    </xf>
    <xf numFmtId="0" fontId="2" fillId="28" borderId="17" xfId="0" applyFont="1" applyFill="1" applyBorder="1" applyAlignment="1">
      <alignment horizontal="left"/>
    </xf>
    <xf numFmtId="0" fontId="2" fillId="28" borderId="17" xfId="0" applyFont="1" applyFill="1" applyBorder="1" applyAlignment="1">
      <alignment horizontal="center"/>
    </xf>
    <xf numFmtId="0" fontId="2" fillId="0" borderId="14" xfId="0" applyFont="1" applyBorder="1"/>
    <xf numFmtId="0" fontId="2" fillId="0" borderId="10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30" xfId="0" applyFont="1" applyBorder="1" applyAlignment="1">
      <alignment horizontal="center"/>
    </xf>
    <xf numFmtId="0" fontId="2" fillId="28" borderId="1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8" borderId="16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28" borderId="41" xfId="0" applyFont="1" applyFill="1" applyBorder="1" applyAlignment="1">
      <alignment horizontal="left" vertical="center"/>
    </xf>
    <xf numFmtId="0" fontId="2" fillId="28" borderId="42" xfId="0" applyFont="1" applyFill="1" applyBorder="1" applyAlignment="1">
      <alignment horizontal="center"/>
    </xf>
    <xf numFmtId="0" fontId="2" fillId="36" borderId="14" xfId="0" applyFont="1" applyFill="1" applyBorder="1" applyAlignment="1">
      <alignment horizontal="left" vertical="center"/>
    </xf>
    <xf numFmtId="0" fontId="2" fillId="36" borderId="10" xfId="0" applyFont="1" applyFill="1" applyBorder="1" applyAlignment="1">
      <alignment horizontal="center"/>
    </xf>
    <xf numFmtId="0" fontId="2" fillId="28" borderId="27" xfId="0" applyFont="1" applyFill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28" borderId="28" xfId="0" applyFont="1" applyFill="1" applyBorder="1" applyAlignment="1">
      <alignment horizontal="left"/>
    </xf>
    <xf numFmtId="0" fontId="2" fillId="0" borderId="27" xfId="0" applyFont="1" applyBorder="1"/>
    <xf numFmtId="0" fontId="2" fillId="0" borderId="28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3" borderId="0" xfId="45" applyFill="1"/>
    <xf numFmtId="0" fontId="1" fillId="0" borderId="0" xfId="45"/>
    <xf numFmtId="0" fontId="2" fillId="0" borderId="19" xfId="45" applyFont="1" applyBorder="1"/>
    <xf numFmtId="0" fontId="2" fillId="0" borderId="20" xfId="45" applyFont="1" applyBorder="1"/>
    <xf numFmtId="0" fontId="1" fillId="0" borderId="20" xfId="45" applyBorder="1"/>
    <xf numFmtId="0" fontId="1" fillId="0" borderId="21" xfId="45" applyBorder="1"/>
    <xf numFmtId="0" fontId="1" fillId="0" borderId="23" xfId="45" applyBorder="1"/>
    <xf numFmtId="0" fontId="1" fillId="0" borderId="0" xfId="45" applyBorder="1"/>
    <xf numFmtId="0" fontId="2" fillId="0" borderId="0" xfId="45" applyFont="1" applyBorder="1" applyAlignment="1"/>
    <xf numFmtId="0" fontId="1" fillId="0" borderId="22" xfId="45" applyBorder="1"/>
    <xf numFmtId="0" fontId="2" fillId="0" borderId="23" xfId="45" applyFont="1" applyBorder="1"/>
    <xf numFmtId="0" fontId="2" fillId="24" borderId="0" xfId="45" applyFont="1" applyFill="1" applyBorder="1" applyAlignment="1" applyProtection="1">
      <alignment horizontal="center"/>
      <protection locked="0"/>
    </xf>
    <xf numFmtId="0" fontId="2" fillId="23" borderId="0" xfId="45" applyFont="1" applyFill="1" applyBorder="1"/>
    <xf numFmtId="0" fontId="2" fillId="24" borderId="69" xfId="45" applyFont="1" applyFill="1" applyBorder="1" applyAlignment="1" applyProtection="1">
      <alignment horizontal="center"/>
      <protection locked="0"/>
    </xf>
    <xf numFmtId="0" fontId="2" fillId="0" borderId="0" xfId="45" applyFont="1"/>
    <xf numFmtId="0" fontId="2" fillId="0" borderId="0" xfId="45" applyFont="1" applyBorder="1"/>
    <xf numFmtId="0" fontId="2" fillId="28" borderId="14" xfId="45" applyFont="1" applyFill="1" applyBorder="1" applyAlignment="1">
      <alignment horizontal="left" vertical="center"/>
    </xf>
    <xf numFmtId="0" fontId="2" fillId="28" borderId="10" xfId="45" applyFont="1" applyFill="1" applyBorder="1" applyAlignment="1">
      <alignment horizontal="center"/>
    </xf>
    <xf numFmtId="166" fontId="2" fillId="27" borderId="10" xfId="45" applyNumberFormat="1" applyFont="1" applyFill="1" applyBorder="1" applyAlignment="1">
      <alignment horizontal="center"/>
    </xf>
    <xf numFmtId="1" fontId="2" fillId="26" borderId="15" xfId="45" applyNumberFormat="1" applyFont="1" applyFill="1" applyBorder="1" applyAlignment="1">
      <alignment horizontal="center"/>
    </xf>
    <xf numFmtId="0" fontId="2" fillId="0" borderId="14" xfId="45" applyFont="1" applyFill="1" applyBorder="1" applyAlignment="1">
      <alignment horizontal="left" vertical="center"/>
    </xf>
    <xf numFmtId="0" fontId="2" fillId="0" borderId="10" xfId="45" applyFont="1" applyFill="1" applyBorder="1" applyAlignment="1">
      <alignment horizontal="center"/>
    </xf>
    <xf numFmtId="0" fontId="2" fillId="0" borderId="16" xfId="45" applyFont="1" applyFill="1" applyBorder="1" applyAlignment="1">
      <alignment horizontal="left" vertical="center"/>
    </xf>
    <xf numFmtId="0" fontId="2" fillId="0" borderId="17" xfId="45" applyFont="1" applyFill="1" applyBorder="1" applyAlignment="1">
      <alignment horizontal="center"/>
    </xf>
    <xf numFmtId="166" fontId="2" fillId="27" borderId="17" xfId="45" applyNumberFormat="1" applyFont="1" applyFill="1" applyBorder="1" applyAlignment="1">
      <alignment horizontal="center"/>
    </xf>
    <xf numFmtId="1" fontId="2" fillId="26" borderId="18" xfId="45" applyNumberFormat="1" applyFont="1" applyFill="1" applyBorder="1" applyAlignment="1">
      <alignment horizontal="center"/>
    </xf>
    <xf numFmtId="0" fontId="1" fillId="0" borderId="0" xfId="45" applyFont="1"/>
    <xf numFmtId="166" fontId="1" fillId="23" borderId="0" xfId="45" applyNumberFormat="1" applyFill="1" applyBorder="1"/>
    <xf numFmtId="0" fontId="1" fillId="0" borderId="25" xfId="45" applyBorder="1"/>
    <xf numFmtId="0" fontId="1" fillId="0" borderId="25" xfId="45" applyNumberFormat="1" applyBorder="1"/>
    <xf numFmtId="0" fontId="1" fillId="0" borderId="26" xfId="45" applyBorder="1"/>
    <xf numFmtId="0" fontId="1" fillId="0" borderId="0" xfId="45" applyNumberFormat="1"/>
    <xf numFmtId="0" fontId="39" fillId="0" borderId="0" xfId="45" applyFont="1" applyAlignment="1">
      <alignment horizontal="center" vertical="center" readingOrder="1"/>
    </xf>
    <xf numFmtId="0" fontId="6" fillId="23" borderId="0" xfId="45" applyFont="1" applyFill="1"/>
    <xf numFmtId="0" fontId="3" fillId="0" borderId="0" xfId="45" applyFont="1" applyFill="1"/>
    <xf numFmtId="0" fontId="3" fillId="0" borderId="0" xfId="45" applyFont="1"/>
    <xf numFmtId="0" fontId="2" fillId="0" borderId="11" xfId="45" applyFont="1" applyBorder="1" applyAlignment="1">
      <alignment horizontal="center" vertical="center"/>
    </xf>
    <xf numFmtId="0" fontId="2" fillId="0" borderId="29" xfId="45" applyFont="1" applyBorder="1" applyAlignment="1">
      <alignment horizontal="center" vertical="center"/>
    </xf>
    <xf numFmtId="0" fontId="2" fillId="0" borderId="12" xfId="45" applyFont="1" applyBorder="1" applyAlignment="1">
      <alignment horizontal="center" vertical="center"/>
    </xf>
    <xf numFmtId="0" fontId="2" fillId="0" borderId="12" xfId="45" applyFont="1" applyBorder="1" applyAlignment="1">
      <alignment horizontal="center"/>
    </xf>
    <xf numFmtId="0" fontId="2" fillId="0" borderId="13" xfId="45" applyFont="1" applyBorder="1" applyAlignment="1">
      <alignment horizontal="center"/>
    </xf>
    <xf numFmtId="0" fontId="1" fillId="28" borderId="41" xfId="45" applyFont="1" applyFill="1" applyBorder="1" applyAlignment="1">
      <alignment horizontal="left" vertical="center"/>
    </xf>
    <xf numFmtId="0" fontId="1" fillId="0" borderId="27" xfId="45" applyBorder="1" applyAlignment="1">
      <alignment horizontal="left" vertical="center"/>
    </xf>
    <xf numFmtId="2" fontId="3" fillId="0" borderId="10" xfId="45" applyNumberFormat="1" applyFont="1" applyBorder="1" applyAlignment="1" applyProtection="1">
      <alignment horizontal="center" vertical="center"/>
    </xf>
    <xf numFmtId="2" fontId="3" fillId="0" borderId="10" xfId="45" applyNumberFormat="1" applyFont="1" applyFill="1" applyBorder="1" applyAlignment="1" applyProtection="1">
      <alignment horizontal="center" vertical="center"/>
    </xf>
    <xf numFmtId="2" fontId="11" fillId="0" borderId="10" xfId="45" applyNumberFormat="1" applyFont="1" applyBorder="1" applyAlignment="1" applyProtection="1">
      <alignment horizontal="center" vertical="center"/>
    </xf>
    <xf numFmtId="2" fontId="1" fillId="0" borderId="10" xfId="46" applyNumberFormat="1" applyBorder="1" applyAlignment="1">
      <alignment horizontal="center" vertical="center"/>
    </xf>
    <xf numFmtId="2" fontId="1" fillId="0" borderId="10" xfId="45" applyNumberFormat="1" applyBorder="1" applyAlignment="1">
      <alignment horizontal="center" vertical="center"/>
    </xf>
    <xf numFmtId="0" fontId="1" fillId="0" borderId="10" xfId="45" applyBorder="1" applyAlignment="1">
      <alignment horizontal="center"/>
    </xf>
    <xf numFmtId="0" fontId="1" fillId="0" borderId="15" xfId="45" applyBorder="1" applyAlignment="1">
      <alignment horizontal="center"/>
    </xf>
    <xf numFmtId="0" fontId="1" fillId="0" borderId="14" xfId="45" applyFont="1" applyFill="1" applyBorder="1" applyAlignment="1">
      <alignment horizontal="left" vertical="center"/>
    </xf>
    <xf numFmtId="0" fontId="1" fillId="28" borderId="14" xfId="45" applyFont="1" applyFill="1" applyBorder="1" applyAlignment="1">
      <alignment horizontal="left" vertical="center"/>
    </xf>
    <xf numFmtId="166" fontId="40" fillId="25" borderId="10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3" fontId="1" fillId="0" borderId="10" xfId="46" applyNumberFormat="1" applyBorder="1" applyAlignment="1">
      <alignment horizontal="center" vertical="center"/>
    </xf>
    <xf numFmtId="0" fontId="2" fillId="37" borderId="14" xfId="0" applyFont="1" applyFill="1" applyBorder="1" applyAlignment="1">
      <alignment horizontal="left"/>
    </xf>
    <xf numFmtId="0" fontId="2" fillId="37" borderId="10" xfId="0" applyFont="1" applyFill="1" applyBorder="1" applyAlignment="1">
      <alignment horizontal="left"/>
    </xf>
    <xf numFmtId="0" fontId="2" fillId="37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166" fontId="2" fillId="27" borderId="30" xfId="0" applyNumberFormat="1" applyFont="1" applyFill="1" applyBorder="1" applyAlignment="1">
      <alignment horizontal="center"/>
    </xf>
    <xf numFmtId="166" fontId="2" fillId="26" borderId="30" xfId="0" applyNumberFormat="1" applyFont="1" applyFill="1" applyBorder="1" applyAlignment="1">
      <alignment horizontal="center"/>
    </xf>
    <xf numFmtId="0" fontId="2" fillId="38" borderId="133" xfId="0" applyFont="1" applyFill="1" applyBorder="1" applyAlignment="1">
      <alignment horizontal="left" vertical="center"/>
    </xf>
    <xf numFmtId="0" fontId="2" fillId="38" borderId="3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36" borderId="16" xfId="0" applyFont="1" applyFill="1" applyBorder="1" applyAlignment="1">
      <alignment horizontal="left" vertical="center"/>
    </xf>
    <xf numFmtId="0" fontId="2" fillId="36" borderId="17" xfId="0" applyFont="1" applyFill="1" applyBorder="1" applyAlignment="1">
      <alignment horizontal="center"/>
    </xf>
    <xf numFmtId="0" fontId="41" fillId="27" borderId="33" xfId="0" applyFont="1" applyFill="1" applyBorder="1" applyAlignment="1">
      <alignment horizontal="center"/>
    </xf>
    <xf numFmtId="0" fontId="2" fillId="0" borderId="105" xfId="0" applyFont="1" applyFill="1" applyBorder="1" applyAlignment="1"/>
    <xf numFmtId="0" fontId="2" fillId="0" borderId="109" xfId="0" applyFont="1" applyFill="1" applyBorder="1" applyAlignment="1"/>
    <xf numFmtId="0" fontId="1" fillId="0" borderId="14" xfId="45" applyBorder="1" applyAlignment="1">
      <alignment horizontal="left" vertical="center"/>
    </xf>
    <xf numFmtId="1" fontId="1" fillId="0" borderId="10" xfId="45" applyNumberFormat="1" applyBorder="1" applyAlignment="1">
      <alignment horizontal="center" vertical="center"/>
    </xf>
    <xf numFmtId="0" fontId="11" fillId="0" borderId="10" xfId="45" applyFont="1" applyBorder="1" applyAlignment="1">
      <alignment horizontal="center"/>
    </xf>
    <xf numFmtId="0" fontId="1" fillId="0" borderId="16" xfId="45" applyBorder="1" applyAlignment="1">
      <alignment horizontal="left" vertical="center"/>
    </xf>
    <xf numFmtId="0" fontId="1" fillId="0" borderId="28" xfId="45" applyBorder="1" applyAlignment="1">
      <alignment horizontal="left" vertical="center"/>
    </xf>
    <xf numFmtId="2" fontId="3" fillId="0" borderId="17" xfId="45" applyNumberFormat="1" applyFont="1" applyBorder="1" applyAlignment="1" applyProtection="1">
      <alignment horizontal="center" vertical="center"/>
    </xf>
    <xf numFmtId="0" fontId="11" fillId="0" borderId="17" xfId="45" applyFont="1" applyBorder="1" applyAlignment="1">
      <alignment horizontal="center"/>
    </xf>
    <xf numFmtId="0" fontId="1" fillId="0" borderId="17" xfId="45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38" borderId="17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166" fontId="2" fillId="26" borderId="135" xfId="0" applyNumberFormat="1" applyFont="1" applyFill="1" applyBorder="1" applyAlignment="1">
      <alignment horizontal="center"/>
    </xf>
    <xf numFmtId="166" fontId="2" fillId="26" borderId="136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0" fillId="0" borderId="25" xfId="0" applyFill="1" applyBorder="1"/>
    <xf numFmtId="0" fontId="2" fillId="0" borderId="14" xfId="0" applyFont="1" applyBorder="1" applyAlignment="1">
      <alignment horizontal="center"/>
    </xf>
    <xf numFmtId="0" fontId="2" fillId="26" borderId="138" xfId="0" applyFont="1" applyFill="1" applyBorder="1" applyAlignment="1">
      <alignment horizontal="center"/>
    </xf>
    <xf numFmtId="0" fontId="2" fillId="0" borderId="137" xfId="0" applyFont="1" applyBorder="1" applyAlignment="1">
      <alignment horizontal="center"/>
    </xf>
    <xf numFmtId="0" fontId="2" fillId="0" borderId="45" xfId="0" applyFont="1" applyFill="1" applyBorder="1" applyAlignment="1">
      <alignment horizontal="left" vertical="center"/>
    </xf>
    <xf numFmtId="0" fontId="2" fillId="38" borderId="112" xfId="0" applyFont="1" applyFill="1" applyBorder="1" applyAlignment="1">
      <alignment horizontal="left" vertical="center"/>
    </xf>
    <xf numFmtId="0" fontId="2" fillId="0" borderId="112" xfId="0" applyFont="1" applyFill="1" applyBorder="1" applyAlignment="1">
      <alignment horizontal="left" vertical="center"/>
    </xf>
    <xf numFmtId="0" fontId="2" fillId="38" borderId="4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/>
    </xf>
    <xf numFmtId="0" fontId="2" fillId="38" borderId="133" xfId="0" applyFont="1" applyFill="1" applyBorder="1" applyAlignment="1">
      <alignment horizontal="center"/>
    </xf>
    <xf numFmtId="166" fontId="2" fillId="26" borderId="32" xfId="0" applyNumberFormat="1" applyFont="1" applyFill="1" applyBorder="1" applyAlignment="1">
      <alignment horizontal="center"/>
    </xf>
    <xf numFmtId="0" fontId="2" fillId="0" borderId="133" xfId="0" applyFont="1" applyFill="1" applyBorder="1" applyAlignment="1">
      <alignment horizontal="center"/>
    </xf>
    <xf numFmtId="0" fontId="2" fillId="38" borderId="1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3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117" xfId="0" applyFont="1" applyBorder="1" applyAlignment="1">
      <alignment horizontal="center"/>
    </xf>
    <xf numFmtId="0" fontId="2" fillId="0" borderId="118" xfId="0" applyFont="1" applyBorder="1" applyAlignment="1">
      <alignment horizontal="center"/>
    </xf>
    <xf numFmtId="0" fontId="2" fillId="0" borderId="105" xfId="0" applyFont="1" applyBorder="1" applyAlignment="1">
      <alignment horizontal="center"/>
    </xf>
    <xf numFmtId="0" fontId="2" fillId="0" borderId="1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31" borderId="19" xfId="0" applyFont="1" applyFill="1" applyBorder="1" applyAlignment="1">
      <alignment horizontal="center"/>
    </xf>
    <xf numFmtId="0" fontId="5" fillId="31" borderId="20" xfId="0" applyFont="1" applyFill="1" applyBorder="1" applyAlignment="1">
      <alignment horizontal="center"/>
    </xf>
    <xf numFmtId="0" fontId="5" fillId="31" borderId="2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31" borderId="24" xfId="0" applyFont="1" applyFill="1" applyBorder="1" applyAlignment="1">
      <alignment horizontal="center"/>
    </xf>
    <xf numFmtId="0" fontId="5" fillId="31" borderId="25" xfId="0" applyFont="1" applyFill="1" applyBorder="1" applyAlignment="1">
      <alignment horizontal="center"/>
    </xf>
    <xf numFmtId="0" fontId="5" fillId="31" borderId="26" xfId="0" applyFont="1" applyFill="1" applyBorder="1" applyAlignment="1">
      <alignment horizontal="center"/>
    </xf>
    <xf numFmtId="0" fontId="2" fillId="0" borderId="120" xfId="0" applyFont="1" applyBorder="1" applyAlignment="1">
      <alignment horizontal="center"/>
    </xf>
    <xf numFmtId="0" fontId="2" fillId="0" borderId="12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34" borderId="0" xfId="45" applyFont="1" applyFill="1" applyAlignment="1">
      <alignment horizontal="center"/>
    </xf>
    <xf numFmtId="0" fontId="4" fillId="0" borderId="0" xfId="45" applyFont="1" applyAlignment="1">
      <alignment horizontal="center"/>
    </xf>
    <xf numFmtId="0" fontId="2" fillId="0" borderId="11" xfId="45" applyFont="1" applyBorder="1" applyAlignment="1">
      <alignment horizontal="center"/>
    </xf>
    <xf numFmtId="0" fontId="2" fillId="0" borderId="14" xfId="45" applyFont="1" applyBorder="1" applyAlignment="1">
      <alignment horizontal="center"/>
    </xf>
    <xf numFmtId="0" fontId="2" fillId="0" borderId="122" xfId="0" applyFont="1" applyBorder="1" applyAlignment="1">
      <alignment horizontal="center"/>
    </xf>
    <xf numFmtId="0" fontId="2" fillId="0" borderId="105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5" borderId="123" xfId="0" applyFont="1" applyFill="1" applyBorder="1" applyAlignment="1">
      <alignment horizontal="center"/>
    </xf>
    <xf numFmtId="0" fontId="2" fillId="25" borderId="12" xfId="0" applyFont="1" applyFill="1" applyBorder="1" applyAlignment="1">
      <alignment horizontal="center"/>
    </xf>
    <xf numFmtId="0" fontId="2" fillId="25" borderId="124" xfId="0" applyFont="1" applyFill="1" applyBorder="1" applyAlignment="1">
      <alignment horizontal="center"/>
    </xf>
    <xf numFmtId="0" fontId="2" fillId="27" borderId="11" xfId="0" applyFont="1" applyFill="1" applyBorder="1" applyAlignment="1">
      <alignment horizontal="center"/>
    </xf>
    <xf numFmtId="0" fontId="2" fillId="27" borderId="121" xfId="0" applyFont="1" applyFill="1" applyBorder="1" applyAlignment="1">
      <alignment horizontal="center"/>
    </xf>
    <xf numFmtId="0" fontId="2" fillId="27" borderId="125" xfId="0" applyFont="1" applyFill="1" applyBorder="1" applyAlignment="1">
      <alignment horizontal="center"/>
    </xf>
    <xf numFmtId="0" fontId="2" fillId="26" borderId="126" xfId="0" applyFont="1" applyFill="1" applyBorder="1" applyAlignment="1">
      <alignment horizontal="center"/>
    </xf>
    <xf numFmtId="0" fontId="2" fillId="26" borderId="117" xfId="0" applyFont="1" applyFill="1" applyBorder="1" applyAlignment="1">
      <alignment horizontal="center"/>
    </xf>
    <xf numFmtId="0" fontId="2" fillId="26" borderId="118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5" borderId="117" xfId="0" applyFont="1" applyFill="1" applyBorder="1" applyAlignment="1">
      <alignment horizontal="center"/>
    </xf>
    <xf numFmtId="0" fontId="2" fillId="0" borderId="105" xfId="0" applyFont="1" applyFill="1" applyBorder="1" applyAlignment="1">
      <alignment horizontal="center"/>
    </xf>
    <xf numFmtId="0" fontId="2" fillId="0" borderId="109" xfId="0" applyFont="1" applyFill="1" applyBorder="1" applyAlignment="1">
      <alignment horizontal="center"/>
    </xf>
    <xf numFmtId="0" fontId="2" fillId="27" borderId="127" xfId="0" applyFont="1" applyFill="1" applyBorder="1" applyAlignment="1">
      <alignment horizontal="center"/>
    </xf>
    <xf numFmtId="0" fontId="2" fillId="27" borderId="115" xfId="0" applyFont="1" applyFill="1" applyBorder="1" applyAlignment="1">
      <alignment horizontal="center"/>
    </xf>
    <xf numFmtId="0" fontId="2" fillId="25" borderId="48" xfId="0" applyFont="1" applyFill="1" applyBorder="1" applyAlignment="1" applyProtection="1">
      <alignment horizontal="center"/>
    </xf>
    <xf numFmtId="0" fontId="2" fillId="25" borderId="127" xfId="0" applyFont="1" applyFill="1" applyBorder="1" applyAlignment="1" applyProtection="1">
      <alignment horizontal="center"/>
    </xf>
    <xf numFmtId="0" fontId="2" fillId="27" borderId="121" xfId="0" applyFont="1" applyFill="1" applyBorder="1" applyAlignment="1">
      <alignment horizontal="left"/>
    </xf>
    <xf numFmtId="0" fontId="2" fillId="27" borderId="125" xfId="0" applyFont="1" applyFill="1" applyBorder="1" applyAlignment="1">
      <alignment horizontal="left"/>
    </xf>
    <xf numFmtId="0" fontId="5" fillId="31" borderId="23" xfId="0" applyFont="1" applyFill="1" applyBorder="1" applyAlignment="1">
      <alignment horizontal="center"/>
    </xf>
    <xf numFmtId="0" fontId="5" fillId="31" borderId="0" xfId="0" applyFont="1" applyFill="1" applyBorder="1" applyAlignment="1">
      <alignment horizontal="center"/>
    </xf>
    <xf numFmtId="0" fontId="5" fillId="31" borderId="22" xfId="0" applyFont="1" applyFill="1" applyBorder="1" applyAlignment="1">
      <alignment horizontal="center"/>
    </xf>
    <xf numFmtId="0" fontId="2" fillId="0" borderId="71" xfId="0" applyFont="1" applyFill="1" applyBorder="1" applyAlignment="1">
      <alignment horizontal="center"/>
    </xf>
    <xf numFmtId="0" fontId="2" fillId="0" borderId="7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47" xfId="0" applyFont="1" applyFill="1" applyBorder="1" applyAlignment="1">
      <alignment horizontal="center"/>
    </xf>
    <xf numFmtId="0" fontId="2" fillId="32" borderId="62" xfId="0" applyFont="1" applyFill="1" applyBorder="1" applyAlignment="1">
      <alignment horizontal="center"/>
    </xf>
    <xf numFmtId="0" fontId="2" fillId="32" borderId="57" xfId="0" applyFont="1" applyFill="1" applyBorder="1" applyAlignment="1">
      <alignment horizontal="center"/>
    </xf>
    <xf numFmtId="0" fontId="2" fillId="31" borderId="62" xfId="0" applyFont="1" applyFill="1" applyBorder="1" applyAlignment="1">
      <alignment horizontal="center"/>
    </xf>
    <xf numFmtId="0" fontId="2" fillId="31" borderId="37" xfId="0" applyFont="1" applyFill="1" applyBorder="1" applyAlignment="1">
      <alignment horizontal="center"/>
    </xf>
    <xf numFmtId="0" fontId="2" fillId="31" borderId="57" xfId="0" applyFont="1" applyFill="1" applyBorder="1" applyAlignment="1">
      <alignment horizontal="center"/>
    </xf>
    <xf numFmtId="0" fontId="2" fillId="24" borderId="62" xfId="0" applyFont="1" applyFill="1" applyBorder="1" applyAlignment="1">
      <alignment horizontal="center"/>
    </xf>
    <xf numFmtId="0" fontId="2" fillId="24" borderId="37" xfId="0" applyFont="1" applyFill="1" applyBorder="1" applyAlignment="1">
      <alignment horizontal="center"/>
    </xf>
    <xf numFmtId="0" fontId="2" fillId="24" borderId="57" xfId="0" applyFont="1" applyFill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1" xfId="0" applyFill="1" applyBorder="1" applyAlignment="1">
      <alignment horizontal="center"/>
    </xf>
    <xf numFmtId="0" fontId="0" fillId="0" borderId="72" xfId="0" applyFill="1" applyBorder="1" applyAlignment="1">
      <alignment horizontal="center"/>
    </xf>
    <xf numFmtId="0" fontId="0" fillId="0" borderId="70" xfId="0" applyFill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128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31" fillId="27" borderId="10" xfId="0" applyFont="1" applyFill="1" applyBorder="1" applyAlignment="1">
      <alignment horizontal="center"/>
    </xf>
    <xf numFmtId="0" fontId="31" fillId="27" borderId="5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61" xfId="0" applyFont="1" applyBorder="1" applyAlignment="1">
      <alignment horizontal="center"/>
    </xf>
    <xf numFmtId="1" fontId="2" fillId="0" borderId="46" xfId="0" quotePrefix="1" applyNumberFormat="1" applyFont="1" applyFill="1" applyBorder="1" applyAlignment="1">
      <alignment horizontal="center"/>
    </xf>
    <xf numFmtId="1" fontId="2" fillId="0" borderId="36" xfId="0" quotePrefix="1" applyNumberFormat="1" applyFont="1" applyFill="1" applyBorder="1" applyAlignment="1">
      <alignment horizontal="center"/>
    </xf>
    <xf numFmtId="1" fontId="2" fillId="0" borderId="114" xfId="0" quotePrefix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31" borderId="71" xfId="0" applyFont="1" applyFill="1" applyBorder="1" applyAlignment="1">
      <alignment horizontal="center"/>
    </xf>
    <xf numFmtId="0" fontId="2" fillId="31" borderId="72" xfId="0" applyFont="1" applyFill="1" applyBorder="1" applyAlignment="1">
      <alignment horizontal="center"/>
    </xf>
    <xf numFmtId="0" fontId="2" fillId="31" borderId="70" xfId="0" applyFont="1" applyFill="1" applyBorder="1" applyAlignment="1">
      <alignment horizontal="center"/>
    </xf>
    <xf numFmtId="0" fontId="2" fillId="0" borderId="102" xfId="0" applyFont="1" applyFill="1" applyBorder="1" applyAlignment="1">
      <alignment horizontal="center"/>
    </xf>
    <xf numFmtId="0" fontId="2" fillId="0" borderId="129" xfId="0" applyFont="1" applyFill="1" applyBorder="1" applyAlignment="1">
      <alignment horizontal="center"/>
    </xf>
    <xf numFmtId="0" fontId="2" fillId="0" borderId="130" xfId="0" applyFont="1" applyFill="1" applyBorder="1" applyAlignment="1">
      <alignment horizontal="center"/>
    </xf>
    <xf numFmtId="0" fontId="2" fillId="0" borderId="131" xfId="0" applyFont="1" applyFill="1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0" xfId="0" applyFill="1" applyBorder="1" applyAlignment="1">
      <alignment horizontal="center"/>
    </xf>
    <xf numFmtId="0" fontId="0" fillId="0" borderId="79" xfId="0" applyFill="1" applyBorder="1" applyAlignment="1">
      <alignment horizontal="center"/>
    </xf>
    <xf numFmtId="0" fontId="2" fillId="24" borderId="71" xfId="0" applyFont="1" applyFill="1" applyBorder="1" applyAlignment="1">
      <alignment horizontal="center"/>
    </xf>
    <xf numFmtId="0" fontId="2" fillId="24" borderId="72" xfId="0" applyFont="1" applyFill="1" applyBorder="1" applyAlignment="1">
      <alignment horizontal="center"/>
    </xf>
    <xf numFmtId="9" fontId="2" fillId="27" borderId="90" xfId="0" applyNumberFormat="1" applyFont="1" applyFill="1" applyBorder="1" applyAlignment="1">
      <alignment horizontal="center" vertical="center"/>
    </xf>
    <xf numFmtId="9" fontId="2" fillId="27" borderId="113" xfId="0" applyNumberFormat="1" applyFont="1" applyFill="1" applyBorder="1" applyAlignment="1">
      <alignment horizontal="center" vertical="center"/>
    </xf>
    <xf numFmtId="0" fontId="2" fillId="27" borderId="33" xfId="0" applyFont="1" applyFill="1" applyBorder="1" applyAlignment="1">
      <alignment horizontal="center"/>
    </xf>
    <xf numFmtId="0" fontId="2" fillId="27" borderId="111" xfId="0" applyFont="1" applyFill="1" applyBorder="1" applyAlignment="1">
      <alignment horizontal="center"/>
    </xf>
    <xf numFmtId="9" fontId="2" fillId="27" borderId="17" xfId="0" applyNumberFormat="1" applyFont="1" applyFill="1" applyBorder="1" applyAlignment="1">
      <alignment horizontal="center" vertical="center"/>
    </xf>
    <xf numFmtId="9" fontId="2" fillId="27" borderId="18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109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27" borderId="34" xfId="0" applyFont="1" applyFill="1" applyBorder="1" applyAlignment="1">
      <alignment horizontal="center"/>
    </xf>
    <xf numFmtId="0" fontId="2" fillId="0" borderId="115" xfId="0" applyFont="1" applyBorder="1" applyAlignment="1">
      <alignment horizontal="center"/>
    </xf>
    <xf numFmtId="0" fontId="2" fillId="0" borderId="134" xfId="0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9" fontId="2" fillId="27" borderId="31" xfId="0" applyNumberFormat="1" applyFont="1" applyFill="1" applyBorder="1" applyAlignment="1">
      <alignment horizontal="center" vertical="center"/>
    </xf>
    <xf numFmtId="9" fontId="2" fillId="27" borderId="28" xfId="0" applyNumberFormat="1" applyFont="1" applyFill="1" applyBorder="1" applyAlignment="1">
      <alignment horizontal="center" vertical="center"/>
    </xf>
    <xf numFmtId="9" fontId="2" fillId="27" borderId="34" xfId="0" applyNumberFormat="1" applyFont="1" applyFill="1" applyBorder="1" applyAlignment="1">
      <alignment horizontal="center" vertical="center"/>
    </xf>
    <xf numFmtId="9" fontId="2" fillId="27" borderId="111" xfId="0" applyNumberFormat="1" applyFont="1" applyFill="1" applyBorder="1" applyAlignment="1">
      <alignment horizontal="center" vertical="center"/>
    </xf>
  </cellXfs>
  <cellStyles count="48">
    <cellStyle name="1000-sep (2 dec)_0.1 Alpha Wafer Quick Calc 13.02.2011 JKR" xfId="1"/>
    <cellStyle name="20 % - Akzent1" xfId="2"/>
    <cellStyle name="20 % - Akzent2" xfId="3"/>
    <cellStyle name="20 % - Akzent3" xfId="4"/>
    <cellStyle name="20 % - Akzent4" xfId="5"/>
    <cellStyle name="20 % - Akzent5" xfId="6"/>
    <cellStyle name="20 % - Akzent6" xfId="7"/>
    <cellStyle name="40 % - Akzent1" xfId="8"/>
    <cellStyle name="40 % - Akzent2" xfId="9"/>
    <cellStyle name="40 % - Akzent3" xfId="10"/>
    <cellStyle name="40 % - Akzent4" xfId="11"/>
    <cellStyle name="40 % - Akzent5" xfId="12"/>
    <cellStyle name="40 % - Akzent6" xfId="13"/>
    <cellStyle name="60 % - Akzent1" xfId="14"/>
    <cellStyle name="60 % - Akzent2" xfId="15"/>
    <cellStyle name="60 % - Akzent3" xfId="16"/>
    <cellStyle name="60 % - Akzent4" xfId="17"/>
    <cellStyle name="60 % - Akzent5" xfId="18"/>
    <cellStyle name="60 % - Akzent6" xfId="19"/>
    <cellStyle name="Akzent1" xfId="20"/>
    <cellStyle name="Akzent2" xfId="21"/>
    <cellStyle name="Akzent3" xfId="22"/>
    <cellStyle name="Akzent4" xfId="23"/>
    <cellStyle name="Akzent5" xfId="24"/>
    <cellStyle name="Akzent6" xfId="25"/>
    <cellStyle name="Ausgabe" xfId="26"/>
    <cellStyle name="Berechnung" xfId="27"/>
    <cellStyle name="Eingabe" xfId="28"/>
    <cellStyle name="Ergebnis" xfId="29"/>
    <cellStyle name="Erklärender Text" xfId="30"/>
    <cellStyle name="Gut" xfId="31"/>
    <cellStyle name="Komma" xfId="32" builtinId="3"/>
    <cellStyle name="Komma 2" xfId="46"/>
    <cellStyle name="Komma 2 2" xfId="47"/>
    <cellStyle name="Normal" xfId="0" builtinId="0"/>
    <cellStyle name="Normal 2" xfId="45"/>
    <cellStyle name="Notiz" xfId="33"/>
    <cellStyle name="Procent 2" xfId="34"/>
    <cellStyle name="Procent 2 2" xfId="35"/>
    <cellStyle name="Schlecht" xfId="36"/>
    <cellStyle name="Verknüpfte Zelle" xfId="37"/>
    <cellStyle name="Warnender Text" xfId="38"/>
    <cellStyle name="Überschrift" xfId="39"/>
    <cellStyle name="Überschrift 1" xfId="40"/>
    <cellStyle name="Überschrift 2" xfId="41"/>
    <cellStyle name="Überschrift 3" xfId="42"/>
    <cellStyle name="Überschrift 4" xfId="43"/>
    <cellStyle name="Zelle überprüfen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emf"/><Relationship Id="rId1" Type="http://schemas.openxmlformats.org/officeDocument/2006/relationships/image" Target="../media/image24.png"/><Relationship Id="rId4" Type="http://schemas.openxmlformats.org/officeDocument/2006/relationships/image" Target="../media/image27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Relationship Id="rId4" Type="http://schemas.openxmlformats.org/officeDocument/2006/relationships/image" Target="../media/image36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jpeg"/><Relationship Id="rId4" Type="http://schemas.openxmlformats.org/officeDocument/2006/relationships/image" Target="../media/image40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jpeg"/><Relationship Id="rId2" Type="http://schemas.openxmlformats.org/officeDocument/2006/relationships/image" Target="../media/image41.png"/><Relationship Id="rId1" Type="http://schemas.openxmlformats.org/officeDocument/2006/relationships/image" Target="../media/image3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emf"/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7.emf"/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jpeg"/><Relationship Id="rId1" Type="http://schemas.openxmlformats.org/officeDocument/2006/relationships/image" Target="../media/image17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7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23.jpeg"/><Relationship Id="rId1" Type="http://schemas.openxmlformats.org/officeDocument/2006/relationships/image" Target="../media/image22.emf"/><Relationship Id="rId4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2</xdr:row>
      <xdr:rowOff>38100</xdr:rowOff>
    </xdr:from>
    <xdr:to>
      <xdr:col>10</xdr:col>
      <xdr:colOff>1047750</xdr:colOff>
      <xdr:row>24</xdr:row>
      <xdr:rowOff>123825</xdr:rowOff>
    </xdr:to>
    <xdr:pic>
      <xdr:nvPicPr>
        <xdr:cNvPr id="1133" name="Picture 1" descr="Frese S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571500"/>
          <a:ext cx="3171825" cy="355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857250</xdr:colOff>
      <xdr:row>19</xdr:row>
      <xdr:rowOff>38100</xdr:rowOff>
    </xdr:from>
    <xdr:to>
      <xdr:col>5</xdr:col>
      <xdr:colOff>123825</xdr:colOff>
      <xdr:row>30</xdr:row>
      <xdr:rowOff>104775</xdr:rowOff>
    </xdr:to>
    <xdr:pic>
      <xdr:nvPicPr>
        <xdr:cNvPr id="1134" name="Picture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219450"/>
          <a:ext cx="140970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22</xdr:row>
      <xdr:rowOff>9525</xdr:rowOff>
    </xdr:from>
    <xdr:to>
      <xdr:col>10</xdr:col>
      <xdr:colOff>1304925</xdr:colOff>
      <xdr:row>32</xdr:row>
      <xdr:rowOff>9525</xdr:rowOff>
    </xdr:to>
    <xdr:pic>
      <xdr:nvPicPr>
        <xdr:cNvPr id="1135" name="Pictur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686175"/>
          <a:ext cx="38385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410441</xdr:colOff>
      <xdr:row>31</xdr:row>
      <xdr:rowOff>17859</xdr:rowOff>
    </xdr:from>
    <xdr:to>
      <xdr:col>1</xdr:col>
      <xdr:colOff>9199</xdr:colOff>
      <xdr:row>41</xdr:row>
      <xdr:rowOff>170258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410441" y="5395154"/>
          <a:ext cx="681144" cy="18062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2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975123</xdr:colOff>
      <xdr:row>27</xdr:row>
      <xdr:rowOff>123825</xdr:rowOff>
    </xdr:from>
    <xdr:to>
      <xdr:col>9</xdr:col>
      <xdr:colOff>1029891</xdr:colOff>
      <xdr:row>31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6718698" y="4772025"/>
          <a:ext cx="278844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∆Pp = Pump pressure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∆Ps = Differential pressure in system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∆Pv = Pressure loss across valve</a:t>
          </a:r>
        </a:p>
      </xdr:txBody>
    </xdr:sp>
    <xdr:clientData/>
  </xdr:twoCellAnchor>
  <xdr:twoCellAnchor>
    <xdr:from>
      <xdr:col>8</xdr:col>
      <xdr:colOff>219074</xdr:colOff>
      <xdr:row>2</xdr:row>
      <xdr:rowOff>142874</xdr:rowOff>
    </xdr:from>
    <xdr:to>
      <xdr:col>9</xdr:col>
      <xdr:colOff>685799</xdr:colOff>
      <xdr:row>5</xdr:row>
      <xdr:rowOff>47625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7334249" y="676274"/>
          <a:ext cx="1838325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Frese SIGMA Compact (Supply)</a:t>
          </a:r>
        </a:p>
      </xdr:txBody>
    </xdr:sp>
    <xdr:clientData/>
  </xdr:twoCellAnchor>
  <xdr:twoCellAnchor>
    <xdr:from>
      <xdr:col>8</xdr:col>
      <xdr:colOff>389661</xdr:colOff>
      <xdr:row>11</xdr:row>
      <xdr:rowOff>152400</xdr:rowOff>
    </xdr:from>
    <xdr:to>
      <xdr:col>9</xdr:col>
      <xdr:colOff>677143</xdr:colOff>
      <xdr:row>14</xdr:row>
      <xdr:rowOff>47625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7507434" y="2213264"/>
          <a:ext cx="1655618" cy="388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Frese PV Compact (Return)</a:t>
          </a:r>
        </a:p>
      </xdr:txBody>
    </xdr:sp>
    <xdr:clientData/>
  </xdr:twoCellAnchor>
  <xdr:twoCellAnchor>
    <xdr:from>
      <xdr:col>1</xdr:col>
      <xdr:colOff>228600</xdr:colOff>
      <xdr:row>26</xdr:row>
      <xdr:rowOff>114300</xdr:rowOff>
    </xdr:from>
    <xdr:to>
      <xdr:col>1</xdr:col>
      <xdr:colOff>833437</xdr:colOff>
      <xdr:row>29</xdr:row>
      <xdr:rowOff>35719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314450" y="4600575"/>
          <a:ext cx="604837" cy="407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Frese PV Compact</a:t>
          </a:r>
        </a:p>
      </xdr:txBody>
    </xdr:sp>
    <xdr:clientData/>
  </xdr:twoCellAnchor>
  <xdr:twoCellAnchor>
    <xdr:from>
      <xdr:col>3</xdr:col>
      <xdr:colOff>41675</xdr:colOff>
      <xdr:row>26</xdr:row>
      <xdr:rowOff>47624</xdr:rowOff>
    </xdr:from>
    <xdr:to>
      <xdr:col>3</xdr:col>
      <xdr:colOff>904878</xdr:colOff>
      <xdr:row>29</xdr:row>
      <xdr:rowOff>23813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289700" y="4533899"/>
          <a:ext cx="863203" cy="461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Frese SIGMA Compact</a:t>
          </a:r>
        </a:p>
      </xdr:txBody>
    </xdr:sp>
    <xdr:clientData/>
  </xdr:twoCellAnchor>
  <xdr:twoCellAnchor>
    <xdr:from>
      <xdr:col>0</xdr:col>
      <xdr:colOff>419100</xdr:colOff>
      <xdr:row>31</xdr:row>
      <xdr:rowOff>9525</xdr:rowOff>
    </xdr:from>
    <xdr:to>
      <xdr:col>0</xdr:col>
      <xdr:colOff>419100</xdr:colOff>
      <xdr:row>42</xdr:row>
      <xdr:rowOff>9525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ShapeType="1"/>
        </xdr:cNvSpPr>
      </xdr:nvSpPr>
      <xdr:spPr bwMode="auto">
        <a:xfrm>
          <a:off x="419100" y="5314950"/>
          <a:ext cx="0" cy="1800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419100</xdr:colOff>
      <xdr:row>32</xdr:row>
      <xdr:rowOff>0</xdr:rowOff>
    </xdr:from>
    <xdr:to>
      <xdr:col>0</xdr:col>
      <xdr:colOff>1076325</xdr:colOff>
      <xdr:row>32</xdr:row>
      <xdr:rowOff>0</xdr:rowOff>
    </xdr:to>
    <xdr:sp macro="" textlink="">
      <xdr:nvSpPr>
        <xdr:cNvPr id="10" name="Line 14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ShapeType="1"/>
        </xdr:cNvSpPr>
      </xdr:nvSpPr>
      <xdr:spPr bwMode="auto">
        <a:xfrm>
          <a:off x="419100" y="5476875"/>
          <a:ext cx="6572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1009650</xdr:colOff>
      <xdr:row>31</xdr:row>
      <xdr:rowOff>9525</xdr:rowOff>
    </xdr:from>
    <xdr:to>
      <xdr:col>1</xdr:col>
      <xdr:colOff>38100</xdr:colOff>
      <xdr:row>31</xdr:row>
      <xdr:rowOff>161925</xdr:rowOff>
    </xdr:to>
    <xdr:sp macro="" textlink="">
      <xdr:nvSpPr>
        <xdr:cNvPr id="11" name="Rectangle 15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1009650" y="5314950"/>
          <a:ext cx="1143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435904</xdr:colOff>
      <xdr:row>2</xdr:row>
      <xdr:rowOff>82150</xdr:rowOff>
    </xdr:from>
    <xdr:to>
      <xdr:col>8</xdr:col>
      <xdr:colOff>659267</xdr:colOff>
      <xdr:row>15</xdr:row>
      <xdr:rowOff>143447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8" t="11506" r="14110" b="9801"/>
        <a:stretch/>
      </xdr:blipFill>
      <xdr:spPr>
        <a:xfrm rot="3600000">
          <a:off x="5869987" y="925042"/>
          <a:ext cx="2213947" cy="1594963"/>
        </a:xfrm>
        <a:prstGeom prst="rect">
          <a:avLst/>
        </a:prstGeom>
      </xdr:spPr>
    </xdr:pic>
    <xdr:clientData/>
  </xdr:twoCellAnchor>
  <xdr:twoCellAnchor editAs="oneCell">
    <xdr:from>
      <xdr:col>7</xdr:col>
      <xdr:colOff>29402</xdr:colOff>
      <xdr:row>17</xdr:row>
      <xdr:rowOff>40481</xdr:rowOff>
    </xdr:from>
    <xdr:to>
      <xdr:col>9</xdr:col>
      <xdr:colOff>361949</xdr:colOff>
      <xdr:row>28</xdr:row>
      <xdr:rowOff>3570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977" y="3050381"/>
          <a:ext cx="3075747" cy="1763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251221</xdr:colOff>
      <xdr:row>23</xdr:row>
      <xdr:rowOff>51197</xdr:rowOff>
    </xdr:from>
    <xdr:to>
      <xdr:col>7</xdr:col>
      <xdr:colOff>482201</xdr:colOff>
      <xdr:row>24</xdr:row>
      <xdr:rowOff>41672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5994796" y="4051697"/>
          <a:ext cx="2309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∆Pv</a:t>
          </a:r>
        </a:p>
      </xdr:txBody>
    </xdr:sp>
    <xdr:clientData/>
  </xdr:twoCellAnchor>
  <xdr:twoCellAnchor>
    <xdr:from>
      <xdr:col>7</xdr:col>
      <xdr:colOff>1135840</xdr:colOff>
      <xdr:row>23</xdr:row>
      <xdr:rowOff>51200</xdr:rowOff>
    </xdr:from>
    <xdr:to>
      <xdr:col>7</xdr:col>
      <xdr:colOff>1366820</xdr:colOff>
      <xdr:row>24</xdr:row>
      <xdr:rowOff>41675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6879415" y="4051700"/>
          <a:ext cx="2309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∆Pv</a:t>
          </a:r>
        </a:p>
      </xdr:txBody>
    </xdr:sp>
    <xdr:clientData/>
  </xdr:twoCellAnchor>
  <xdr:twoCellAnchor>
    <xdr:from>
      <xdr:col>7</xdr:col>
      <xdr:colOff>698893</xdr:colOff>
      <xdr:row>20</xdr:row>
      <xdr:rowOff>159558</xdr:rowOff>
    </xdr:from>
    <xdr:to>
      <xdr:col>7</xdr:col>
      <xdr:colOff>929873</xdr:colOff>
      <xdr:row>21</xdr:row>
      <xdr:rowOff>150033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6442468" y="3674283"/>
          <a:ext cx="2309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∆Ps</a:t>
          </a:r>
        </a:p>
      </xdr:txBody>
    </xdr:sp>
    <xdr:clientData/>
  </xdr:twoCellAnchor>
  <xdr:twoCellAnchor>
    <xdr:from>
      <xdr:col>7</xdr:col>
      <xdr:colOff>708421</xdr:colOff>
      <xdr:row>24</xdr:row>
      <xdr:rowOff>73825</xdr:rowOff>
    </xdr:from>
    <xdr:to>
      <xdr:col>7</xdr:col>
      <xdr:colOff>939401</xdr:colOff>
      <xdr:row>25</xdr:row>
      <xdr:rowOff>64299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6451996" y="4236250"/>
          <a:ext cx="230980" cy="15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∆Pp</a:t>
          </a:r>
        </a:p>
      </xdr:txBody>
    </xdr:sp>
    <xdr:clientData/>
  </xdr:twoCellAnchor>
  <xdr:twoCellAnchor>
    <xdr:from>
      <xdr:col>6</xdr:col>
      <xdr:colOff>303608</xdr:colOff>
      <xdr:row>25</xdr:row>
      <xdr:rowOff>140503</xdr:rowOff>
    </xdr:from>
    <xdr:to>
      <xdr:col>6</xdr:col>
      <xdr:colOff>1351359</xdr:colOff>
      <xdr:row>27</xdr:row>
      <xdr:rowOff>23812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4666058" y="4464853"/>
          <a:ext cx="1047751" cy="20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∆Pp = ∆Ps + ∆Pv</a:t>
          </a:r>
        </a:p>
      </xdr:txBody>
    </xdr:sp>
    <xdr:clientData/>
  </xdr:twoCellAnchor>
  <xdr:twoCellAnchor editAs="oneCell">
    <xdr:from>
      <xdr:col>1</xdr:col>
      <xdr:colOff>51953</xdr:colOff>
      <xdr:row>19</xdr:row>
      <xdr:rowOff>138545</xdr:rowOff>
    </xdr:from>
    <xdr:to>
      <xdr:col>2</xdr:col>
      <xdr:colOff>483439</xdr:colOff>
      <xdr:row>26</xdr:row>
      <xdr:rowOff>111215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4339" y="3524250"/>
          <a:ext cx="1548509" cy="1132988"/>
        </a:xfrm>
        <a:prstGeom prst="rect">
          <a:avLst/>
        </a:prstGeom>
      </xdr:spPr>
    </xdr:pic>
    <xdr:clientData/>
  </xdr:twoCellAnchor>
  <xdr:twoCellAnchor editAs="oneCell">
    <xdr:from>
      <xdr:col>3</xdr:col>
      <xdr:colOff>43296</xdr:colOff>
      <xdr:row>19</xdr:row>
      <xdr:rowOff>51153</xdr:rowOff>
    </xdr:from>
    <xdr:to>
      <xdr:col>6</xdr:col>
      <xdr:colOff>519546</xdr:colOff>
      <xdr:row>25</xdr:row>
      <xdr:rowOff>109971</xdr:rowOff>
    </xdr:to>
    <xdr:pic>
      <xdr:nvPicPr>
        <xdr:cNvPr id="23" name="Billed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455" y="3436858"/>
          <a:ext cx="1593273" cy="1054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15</xdr:row>
      <xdr:rowOff>66675</xdr:rowOff>
    </xdr:from>
    <xdr:to>
      <xdr:col>13</xdr:col>
      <xdr:colOff>485775</xdr:colOff>
      <xdr:row>27</xdr:row>
      <xdr:rowOff>114300</xdr:rowOff>
    </xdr:to>
    <xdr:pic>
      <xdr:nvPicPr>
        <xdr:cNvPr id="11265" name="Picture 6">
          <a:extLst>
            <a:ext uri="{FF2B5EF4-FFF2-40B4-BE49-F238E27FC236}">
              <a16:creationId xmlns:a16="http://schemas.microsoft.com/office/drawing/2014/main" id="{00000000-0008-0000-09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886075"/>
          <a:ext cx="39147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14</xdr:row>
      <xdr:rowOff>19050</xdr:rowOff>
    </xdr:from>
    <xdr:to>
      <xdr:col>6</xdr:col>
      <xdr:colOff>485775</xdr:colOff>
      <xdr:row>26</xdr:row>
      <xdr:rowOff>152400</xdr:rowOff>
    </xdr:to>
    <xdr:pic>
      <xdr:nvPicPr>
        <xdr:cNvPr id="11266" name="Picture 5" descr="49-9037">
          <a:extLst>
            <a:ext uri="{FF2B5EF4-FFF2-40B4-BE49-F238E27FC236}">
              <a16:creationId xmlns:a16="http://schemas.microsoft.com/office/drawing/2014/main" id="{00000000-0008-0000-0900-00000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2667000"/>
          <a:ext cx="231457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14</xdr:row>
      <xdr:rowOff>114300</xdr:rowOff>
    </xdr:from>
    <xdr:to>
      <xdr:col>13</xdr:col>
      <xdr:colOff>571500</xdr:colOff>
      <xdr:row>27</xdr:row>
      <xdr:rowOff>19050</xdr:rowOff>
    </xdr:to>
    <xdr:sp macro="" textlink="">
      <xdr:nvSpPr>
        <xdr:cNvPr id="11267" name="Picture 6">
          <a:extLst>
            <a:ext uri="{FF2B5EF4-FFF2-40B4-BE49-F238E27FC236}">
              <a16:creationId xmlns:a16="http://schemas.microsoft.com/office/drawing/2014/main" id="{00000000-0008-0000-0900-0000032C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762250"/>
          <a:ext cx="41148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628650</xdr:colOff>
      <xdr:row>14</xdr:row>
      <xdr:rowOff>152400</xdr:rowOff>
    </xdr:from>
    <xdr:to>
      <xdr:col>8</xdr:col>
      <xdr:colOff>161925</xdr:colOff>
      <xdr:row>21</xdr:row>
      <xdr:rowOff>19050</xdr:rowOff>
    </xdr:to>
    <xdr:pic>
      <xdr:nvPicPr>
        <xdr:cNvPr id="11268" name="Picture 7" descr="dn25L-50">
          <a:extLst>
            <a:ext uri="{FF2B5EF4-FFF2-40B4-BE49-F238E27FC236}">
              <a16:creationId xmlns:a16="http://schemas.microsoft.com/office/drawing/2014/main" id="{00000000-0008-0000-0900-000004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400000">
          <a:off x="4486275" y="2800350"/>
          <a:ext cx="828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10</xdr:row>
      <xdr:rowOff>66675</xdr:rowOff>
    </xdr:from>
    <xdr:to>
      <xdr:col>17</xdr:col>
      <xdr:colOff>142875</xdr:colOff>
      <xdr:row>103</xdr:row>
      <xdr:rowOff>0</xdr:rowOff>
    </xdr:to>
    <xdr:pic>
      <xdr:nvPicPr>
        <xdr:cNvPr id="8263" name="Picture 6" descr="Alpha Wafer">
          <a:extLst>
            <a:ext uri="{FF2B5EF4-FFF2-40B4-BE49-F238E27FC236}">
              <a16:creationId xmlns:a16="http://schemas.microsoft.com/office/drawing/2014/main" id="{00000000-0008-0000-0A00-00004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09725"/>
          <a:ext cx="2714625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23</xdr:row>
      <xdr:rowOff>152400</xdr:rowOff>
    </xdr:from>
    <xdr:to>
      <xdr:col>10</xdr:col>
      <xdr:colOff>295275</xdr:colOff>
      <xdr:row>116</xdr:row>
      <xdr:rowOff>38100</xdr:rowOff>
    </xdr:to>
    <xdr:pic>
      <xdr:nvPicPr>
        <xdr:cNvPr id="8264" name="Picture 2">
          <a:extLst>
            <a:ext uri="{FF2B5EF4-FFF2-40B4-BE49-F238E27FC236}">
              <a16:creationId xmlns:a16="http://schemas.microsoft.com/office/drawing/2014/main" id="{00000000-0008-0000-0A00-00004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857625"/>
          <a:ext cx="4400550" cy="3381375"/>
        </a:xfrm>
        <a:prstGeom prst="rect">
          <a:avLst/>
        </a:prstGeom>
        <a:solidFill>
          <a:srgbClr val="C0C0C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10</xdr:row>
      <xdr:rowOff>47625</xdr:rowOff>
    </xdr:from>
    <xdr:to>
      <xdr:col>12</xdr:col>
      <xdr:colOff>542925</xdr:colOff>
      <xdr:row>22</xdr:row>
      <xdr:rowOff>38100</xdr:rowOff>
    </xdr:to>
    <xdr:pic>
      <xdr:nvPicPr>
        <xdr:cNvPr id="9362" name="Picture 8" descr="48-5800 lille">
          <a:extLst>
            <a:ext uri="{FF2B5EF4-FFF2-40B4-BE49-F238E27FC236}">
              <a16:creationId xmlns:a16="http://schemas.microsoft.com/office/drawing/2014/main" id="{00000000-0008-0000-0B00-00009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9300"/>
          <a:ext cx="189547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533400</xdr:colOff>
      <xdr:row>21</xdr:row>
      <xdr:rowOff>76200</xdr:rowOff>
    </xdr:from>
    <xdr:to>
      <xdr:col>12</xdr:col>
      <xdr:colOff>342900</xdr:colOff>
      <xdr:row>25</xdr:row>
      <xdr:rowOff>123825</xdr:rowOff>
    </xdr:to>
    <xdr:pic>
      <xdr:nvPicPr>
        <xdr:cNvPr id="9363" name="Picture 7" descr="dn25L-50">
          <a:extLst>
            <a:ext uri="{FF2B5EF4-FFF2-40B4-BE49-F238E27FC236}">
              <a16:creationId xmlns:a16="http://schemas.microsoft.com/office/drawing/2014/main" id="{00000000-0008-0000-0B00-00009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100000">
          <a:off x="8096250" y="3981450"/>
          <a:ext cx="523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16</xdr:row>
      <xdr:rowOff>57150</xdr:rowOff>
    </xdr:from>
    <xdr:to>
      <xdr:col>5</xdr:col>
      <xdr:colOff>619125</xdr:colOff>
      <xdr:row>20</xdr:row>
      <xdr:rowOff>152400</xdr:rowOff>
    </xdr:to>
    <xdr:pic>
      <xdr:nvPicPr>
        <xdr:cNvPr id="9364" name="Picture 3" descr="48-5515">
          <a:extLst>
            <a:ext uri="{FF2B5EF4-FFF2-40B4-BE49-F238E27FC236}">
              <a16:creationId xmlns:a16="http://schemas.microsoft.com/office/drawing/2014/main" id="{00000000-0008-0000-0B00-00009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3095625"/>
          <a:ext cx="10096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26</xdr:row>
      <xdr:rowOff>19050</xdr:rowOff>
    </xdr:from>
    <xdr:to>
      <xdr:col>13</xdr:col>
      <xdr:colOff>657225</xdr:colOff>
      <xdr:row>123</xdr:row>
      <xdr:rowOff>133350</xdr:rowOff>
    </xdr:to>
    <xdr:sp macro="" textlink="">
      <xdr:nvSpPr>
        <xdr:cNvPr id="9365" name="Picture 4">
          <a:extLst>
            <a:ext uri="{FF2B5EF4-FFF2-40B4-BE49-F238E27FC236}">
              <a16:creationId xmlns:a16="http://schemas.microsoft.com/office/drawing/2014/main" id="{00000000-0008-0000-0B00-000095240000}"/>
            </a:ext>
          </a:extLst>
        </xdr:cNvPr>
        <xdr:cNvSpPr>
          <a:spLocks noChangeAspect="1" noChangeArrowheads="1"/>
        </xdr:cNvSpPr>
      </xdr:nvSpPr>
      <xdr:spPr bwMode="auto">
        <a:xfrm>
          <a:off x="4657725" y="4752975"/>
          <a:ext cx="495300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25</xdr:row>
      <xdr:rowOff>104775</xdr:rowOff>
    </xdr:from>
    <xdr:to>
      <xdr:col>13</xdr:col>
      <xdr:colOff>723900</xdr:colOff>
      <xdr:row>123</xdr:row>
      <xdr:rowOff>95250</xdr:rowOff>
    </xdr:to>
    <xdr:pic>
      <xdr:nvPicPr>
        <xdr:cNvPr id="9366" name="Picture 4">
          <a:extLst>
            <a:ext uri="{FF2B5EF4-FFF2-40B4-BE49-F238E27FC236}">
              <a16:creationId xmlns:a16="http://schemas.microsoft.com/office/drawing/2014/main" id="{00000000-0008-0000-0B00-00009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676775"/>
          <a:ext cx="494347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13</xdr:row>
      <xdr:rowOff>57150</xdr:rowOff>
    </xdr:from>
    <xdr:to>
      <xdr:col>3</xdr:col>
      <xdr:colOff>933450</xdr:colOff>
      <xdr:row>17</xdr:row>
      <xdr:rowOff>133350</xdr:rowOff>
    </xdr:to>
    <xdr:pic>
      <xdr:nvPicPr>
        <xdr:cNvPr id="2" name="Picture 3" descr="OPTIMA Compact pre setti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085975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142875</xdr:colOff>
      <xdr:row>0</xdr:row>
      <xdr:rowOff>1</xdr:rowOff>
    </xdr:from>
    <xdr:to>
      <xdr:col>10</xdr:col>
      <xdr:colOff>95249</xdr:colOff>
      <xdr:row>1</xdr:row>
      <xdr:rowOff>19051</xdr:rowOff>
    </xdr:to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8572500" y="1"/>
          <a:ext cx="131444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Date 01-04-2014</a:t>
          </a:r>
        </a:p>
      </xdr:txBody>
    </xdr:sp>
    <xdr:clientData/>
  </xdr:twoCellAnchor>
  <xdr:twoCellAnchor editAs="oneCell">
    <xdr:from>
      <xdr:col>5</xdr:col>
      <xdr:colOff>371475</xdr:colOff>
      <xdr:row>13</xdr:row>
      <xdr:rowOff>57150</xdr:rowOff>
    </xdr:from>
    <xdr:to>
      <xdr:col>6</xdr:col>
      <xdr:colOff>390525</xdr:colOff>
      <xdr:row>17</xdr:row>
      <xdr:rowOff>76200</xdr:rowOff>
    </xdr:to>
    <xdr:pic>
      <xdr:nvPicPr>
        <xdr:cNvPr id="4" name="Billede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9" t="83868" r="34323" b="4330"/>
        <a:stretch>
          <a:fillRect/>
        </a:stretch>
      </xdr:blipFill>
      <xdr:spPr bwMode="auto">
        <a:xfrm>
          <a:off x="6181725" y="2085975"/>
          <a:ext cx="733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933450</xdr:colOff>
      <xdr:row>21</xdr:row>
      <xdr:rowOff>47625</xdr:rowOff>
    </xdr:from>
    <xdr:to>
      <xdr:col>9</xdr:col>
      <xdr:colOff>1323975</xdr:colOff>
      <xdr:row>30</xdr:row>
      <xdr:rowOff>114300</xdr:rowOff>
    </xdr:to>
    <xdr:pic>
      <xdr:nvPicPr>
        <xdr:cNvPr id="5" name="Billede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72" b="26389"/>
        <a:stretch>
          <a:fillRect/>
        </a:stretch>
      </xdr:blipFill>
      <xdr:spPr bwMode="auto">
        <a:xfrm>
          <a:off x="5629275" y="3381375"/>
          <a:ext cx="41243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155864</xdr:colOff>
      <xdr:row>2</xdr:row>
      <xdr:rowOff>71871</xdr:rowOff>
    </xdr:from>
    <xdr:to>
      <xdr:col>9</xdr:col>
      <xdr:colOff>1319892</xdr:colOff>
      <xdr:row>21</xdr:row>
      <xdr:rowOff>88504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864" y="605271"/>
          <a:ext cx="2354653" cy="28169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15</xdr:row>
      <xdr:rowOff>57150</xdr:rowOff>
    </xdr:from>
    <xdr:to>
      <xdr:col>3</xdr:col>
      <xdr:colOff>933450</xdr:colOff>
      <xdr:row>19</xdr:row>
      <xdr:rowOff>133350</xdr:rowOff>
    </xdr:to>
    <xdr:pic>
      <xdr:nvPicPr>
        <xdr:cNvPr id="2" name="Picture 3" descr="OPTIMA Compact pre setti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24790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1390650</xdr:colOff>
      <xdr:row>19</xdr:row>
      <xdr:rowOff>28575</xdr:rowOff>
    </xdr:from>
    <xdr:to>
      <xdr:col>4</xdr:col>
      <xdr:colOff>247650</xdr:colOff>
      <xdr:row>31</xdr:row>
      <xdr:rowOff>85725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22" t="22298" r="21896" b="6757"/>
        <a:stretch/>
      </xdr:blipFill>
      <xdr:spPr>
        <a:xfrm>
          <a:off x="1390650" y="3219450"/>
          <a:ext cx="3552825" cy="200025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15</xdr:row>
      <xdr:rowOff>45720</xdr:rowOff>
    </xdr:from>
    <xdr:to>
      <xdr:col>7</xdr:col>
      <xdr:colOff>590550</xdr:colOff>
      <xdr:row>21</xdr:row>
      <xdr:rowOff>47625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3" t="17089" r="24621" b="12924"/>
        <a:stretch/>
      </xdr:blipFill>
      <xdr:spPr>
        <a:xfrm>
          <a:off x="6115050" y="2398395"/>
          <a:ext cx="1000125" cy="982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687380</xdr:colOff>
      <xdr:row>2</xdr:row>
      <xdr:rowOff>65556</xdr:rowOff>
    </xdr:from>
    <xdr:to>
      <xdr:col>9</xdr:col>
      <xdr:colOff>398631</xdr:colOff>
      <xdr:row>20</xdr:row>
      <xdr:rowOff>76201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02" t="15055" r="34082" b="11296"/>
        <a:stretch/>
      </xdr:blipFill>
      <xdr:spPr>
        <a:xfrm>
          <a:off x="5783255" y="598956"/>
          <a:ext cx="1854376" cy="2820520"/>
        </a:xfrm>
        <a:prstGeom prst="rect">
          <a:avLst/>
        </a:prstGeom>
      </xdr:spPr>
    </xdr:pic>
    <xdr:clientData/>
  </xdr:twoCellAnchor>
  <xdr:twoCellAnchor editAs="oneCell">
    <xdr:from>
      <xdr:col>5</xdr:col>
      <xdr:colOff>289900</xdr:colOff>
      <xdr:row>22</xdr:row>
      <xdr:rowOff>85725</xdr:rowOff>
    </xdr:from>
    <xdr:to>
      <xdr:col>10</xdr:col>
      <xdr:colOff>438150</xdr:colOff>
      <xdr:row>33</xdr:row>
      <xdr:rowOff>20400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8025" y="3600450"/>
          <a:ext cx="4053500" cy="171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1028700</xdr:colOff>
      <xdr:row>20</xdr:row>
      <xdr:rowOff>66675</xdr:rowOff>
    </xdr:from>
    <xdr:to>
      <xdr:col>5</xdr:col>
      <xdr:colOff>19050</xdr:colOff>
      <xdr:row>30</xdr:row>
      <xdr:rowOff>123825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86" t="15462" r="34998" b="12516"/>
        <a:stretch/>
      </xdr:blipFill>
      <xdr:spPr>
        <a:xfrm>
          <a:off x="2933700" y="3248025"/>
          <a:ext cx="1133475" cy="1685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1008062</xdr:colOff>
      <xdr:row>28</xdr:row>
      <xdr:rowOff>87312</xdr:rowOff>
    </xdr:from>
    <xdr:to>
      <xdr:col>4</xdr:col>
      <xdr:colOff>207962</xdr:colOff>
      <xdr:row>36</xdr:row>
      <xdr:rowOff>36512</xdr:rowOff>
    </xdr:to>
    <xdr:pic>
      <xdr:nvPicPr>
        <xdr:cNvPr id="3" name="Billede 6">
          <a:extLst>
            <a:ext uri="{FF2B5EF4-FFF2-40B4-BE49-F238E27FC236}">
              <a16:creationId xmlns:a16="http://schemas.microsoft.com/office/drawing/2014/main" id="{4B5C9E8D-A895-42CC-9778-FA568CB2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712" y="4725987"/>
          <a:ext cx="1343025" cy="125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6</xdr:row>
      <xdr:rowOff>133350</xdr:rowOff>
    </xdr:from>
    <xdr:to>
      <xdr:col>9</xdr:col>
      <xdr:colOff>271694</xdr:colOff>
      <xdr:row>26</xdr:row>
      <xdr:rowOff>152401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F636A30B-FDBE-4579-A82C-B5C97A634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1" r="12312" b="1814"/>
        <a:stretch/>
      </xdr:blipFill>
      <xdr:spPr>
        <a:xfrm>
          <a:off x="6486525" y="1181100"/>
          <a:ext cx="2129069" cy="32766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19</xdr:row>
      <xdr:rowOff>38100</xdr:rowOff>
    </xdr:from>
    <xdr:to>
      <xdr:col>5</xdr:col>
      <xdr:colOff>219075</xdr:colOff>
      <xdr:row>29</xdr:row>
      <xdr:rowOff>0</xdr:rowOff>
    </xdr:to>
    <xdr:pic>
      <xdr:nvPicPr>
        <xdr:cNvPr id="2157" name="Picture 1">
          <a:extLst>
            <a:ext uri="{FF2B5EF4-FFF2-40B4-BE49-F238E27FC236}">
              <a16:creationId xmlns:a16="http://schemas.microsoft.com/office/drawing/2014/main" id="{00000000-0008-0000-02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28975"/>
          <a:ext cx="163830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609600</xdr:colOff>
      <xdr:row>21</xdr:row>
      <xdr:rowOff>152400</xdr:rowOff>
    </xdr:from>
    <xdr:to>
      <xdr:col>10</xdr:col>
      <xdr:colOff>1314450</xdr:colOff>
      <xdr:row>32</xdr:row>
      <xdr:rowOff>142875</xdr:rowOff>
    </xdr:to>
    <xdr:pic>
      <xdr:nvPicPr>
        <xdr:cNvPr id="2158" name="Picture 2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3676650"/>
          <a:ext cx="284797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2</xdr:row>
      <xdr:rowOff>47625</xdr:rowOff>
    </xdr:from>
    <xdr:to>
      <xdr:col>10</xdr:col>
      <xdr:colOff>581025</xdr:colOff>
      <xdr:row>22</xdr:row>
      <xdr:rowOff>9525</xdr:rowOff>
    </xdr:to>
    <xdr:pic>
      <xdr:nvPicPr>
        <xdr:cNvPr id="2159" name="Picture 3" descr="OPTIMA frit lille copy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581025"/>
          <a:ext cx="2524125" cy="311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26</xdr:row>
      <xdr:rowOff>31754</xdr:rowOff>
    </xdr:from>
    <xdr:to>
      <xdr:col>4</xdr:col>
      <xdr:colOff>285750</xdr:colOff>
      <xdr:row>34</xdr:row>
      <xdr:rowOff>136529</xdr:rowOff>
    </xdr:to>
    <xdr:pic>
      <xdr:nvPicPr>
        <xdr:cNvPr id="3182" name="Picture 3" descr="OPTIMA Compact pre setting">
          <a:extLst>
            <a:ext uri="{FF2B5EF4-FFF2-40B4-BE49-F238E27FC236}">
              <a16:creationId xmlns:a16="http://schemas.microsoft.com/office/drawing/2014/main" id="{00000000-0008-0000-0300-00006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9067" y="4127504"/>
          <a:ext cx="1424516" cy="137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24</xdr:row>
      <xdr:rowOff>9525</xdr:rowOff>
    </xdr:from>
    <xdr:to>
      <xdr:col>9</xdr:col>
      <xdr:colOff>1276350</xdr:colOff>
      <xdr:row>36</xdr:row>
      <xdr:rowOff>85725</xdr:rowOff>
    </xdr:to>
    <xdr:pic>
      <xdr:nvPicPr>
        <xdr:cNvPr id="3183" name="Picture 5">
          <a:extLst>
            <a:ext uri="{FF2B5EF4-FFF2-40B4-BE49-F238E27FC236}">
              <a16:creationId xmlns:a16="http://schemas.microsoft.com/office/drawing/2014/main" id="{00000000-0008-0000-0300-00006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3533775"/>
          <a:ext cx="3152775" cy="203835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</xdr:row>
      <xdr:rowOff>92111</xdr:rowOff>
    </xdr:from>
    <xdr:to>
      <xdr:col>9</xdr:col>
      <xdr:colOff>714376</xdr:colOff>
      <xdr:row>20</xdr:row>
      <xdr:rowOff>137165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625511"/>
          <a:ext cx="1905001" cy="28454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19</xdr:row>
      <xdr:rowOff>28575</xdr:rowOff>
    </xdr:from>
    <xdr:to>
      <xdr:col>9</xdr:col>
      <xdr:colOff>762000</xdr:colOff>
      <xdr:row>31</xdr:row>
      <xdr:rowOff>127000</xdr:rowOff>
    </xdr:to>
    <xdr:pic>
      <xdr:nvPicPr>
        <xdr:cNvPr id="2" name="Billed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7" t="15598" r="7175" b="13535"/>
        <a:stretch>
          <a:fillRect/>
        </a:stretch>
      </xdr:blipFill>
      <xdr:spPr bwMode="auto">
        <a:xfrm>
          <a:off x="6019800" y="3200400"/>
          <a:ext cx="3086100" cy="206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1008062</xdr:colOff>
      <xdr:row>28</xdr:row>
      <xdr:rowOff>87312</xdr:rowOff>
    </xdr:from>
    <xdr:to>
      <xdr:col>4</xdr:col>
      <xdr:colOff>207962</xdr:colOff>
      <xdr:row>36</xdr:row>
      <xdr:rowOff>36512</xdr:rowOff>
    </xdr:to>
    <xdr:pic>
      <xdr:nvPicPr>
        <xdr:cNvPr id="3" name="Billede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712" y="3754437"/>
          <a:ext cx="1343025" cy="125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357188</xdr:colOff>
      <xdr:row>2</xdr:row>
      <xdr:rowOff>46109</xdr:rowOff>
    </xdr:from>
    <xdr:to>
      <xdr:col>8</xdr:col>
      <xdr:colOff>698500</xdr:colOff>
      <xdr:row>17</xdr:row>
      <xdr:rowOff>34925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6088" y="579509"/>
          <a:ext cx="1531937" cy="23033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20</xdr:row>
      <xdr:rowOff>57150</xdr:rowOff>
    </xdr:from>
    <xdr:to>
      <xdr:col>9</xdr:col>
      <xdr:colOff>923925</xdr:colOff>
      <xdr:row>30</xdr:row>
      <xdr:rowOff>123825</xdr:rowOff>
    </xdr:to>
    <xdr:pic>
      <xdr:nvPicPr>
        <xdr:cNvPr id="5284" name="Picture 1">
          <a:extLst>
            <a:ext uri="{FF2B5EF4-FFF2-40B4-BE49-F238E27FC236}">
              <a16:creationId xmlns:a16="http://schemas.microsoft.com/office/drawing/2014/main" id="{00000000-0008-0000-0500-0000A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590925"/>
          <a:ext cx="3771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438150</xdr:colOff>
      <xdr:row>28</xdr:row>
      <xdr:rowOff>123825</xdr:rowOff>
    </xdr:from>
    <xdr:to>
      <xdr:col>10</xdr:col>
      <xdr:colOff>28575</xdr:colOff>
      <xdr:row>32</xdr:row>
      <xdr:rowOff>9525</xdr:rowOff>
    </xdr:to>
    <xdr:sp macro="" textlink="">
      <xdr:nvSpPr>
        <xdr:cNvPr id="5199" name="Text Box 3">
          <a:extLst>
            <a:ext uri="{FF2B5EF4-FFF2-40B4-BE49-F238E27FC236}">
              <a16:creationId xmlns:a16="http://schemas.microsoft.com/office/drawing/2014/main" id="{00000000-0008-0000-0500-00004F140000}"/>
            </a:ext>
          </a:extLst>
        </xdr:cNvPr>
        <xdr:cNvSpPr txBox="1">
          <a:spLocks noChangeArrowheads="1"/>
        </xdr:cNvSpPr>
      </xdr:nvSpPr>
      <xdr:spPr bwMode="auto">
        <a:xfrm>
          <a:off x="5572125" y="4962525"/>
          <a:ext cx="2143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∆Pp = Pump pressure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∆Ps = Differential pressure setting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∆Pv = Pressure loss across valve</a:t>
          </a:r>
          <a:endParaRPr lang="da-DK"/>
        </a:p>
      </xdr:txBody>
    </xdr:sp>
    <xdr:clientData/>
  </xdr:twoCellAnchor>
  <xdr:twoCellAnchor editAs="oneCell">
    <xdr:from>
      <xdr:col>4</xdr:col>
      <xdr:colOff>152400</xdr:colOff>
      <xdr:row>20</xdr:row>
      <xdr:rowOff>133350</xdr:rowOff>
    </xdr:from>
    <xdr:to>
      <xdr:col>9</xdr:col>
      <xdr:colOff>904875</xdr:colOff>
      <xdr:row>31</xdr:row>
      <xdr:rowOff>28575</xdr:rowOff>
    </xdr:to>
    <xdr:sp macro="" textlink="">
      <xdr:nvSpPr>
        <xdr:cNvPr id="5286" name="Picture 1">
          <a:extLst>
            <a:ext uri="{FF2B5EF4-FFF2-40B4-BE49-F238E27FC236}">
              <a16:creationId xmlns:a16="http://schemas.microsoft.com/office/drawing/2014/main" id="{00000000-0008-0000-05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3457575" y="3667125"/>
          <a:ext cx="3771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2</xdr:row>
      <xdr:rowOff>19050</xdr:rowOff>
    </xdr:from>
    <xdr:to>
      <xdr:col>9</xdr:col>
      <xdr:colOff>1323975</xdr:colOff>
      <xdr:row>15</xdr:row>
      <xdr:rowOff>152400</xdr:rowOff>
    </xdr:to>
    <xdr:pic>
      <xdr:nvPicPr>
        <xdr:cNvPr id="5287" name="Picture 2" descr="53-3010 small">
          <a:extLst>
            <a:ext uri="{FF2B5EF4-FFF2-40B4-BE49-F238E27FC236}">
              <a16:creationId xmlns:a16="http://schemas.microsoft.com/office/drawing/2014/main" id="{00000000-0008-0000-0500-0000A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52450"/>
          <a:ext cx="1990725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438150</xdr:colOff>
      <xdr:row>28</xdr:row>
      <xdr:rowOff>123825</xdr:rowOff>
    </xdr:from>
    <xdr:to>
      <xdr:col>10</xdr:col>
      <xdr:colOff>28575</xdr:colOff>
      <xdr:row>32</xdr:row>
      <xdr:rowOff>9525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00000000-0008-0000-0500-000003140000}"/>
            </a:ext>
          </a:extLst>
        </xdr:cNvPr>
        <xdr:cNvSpPr txBox="1">
          <a:spLocks noChangeArrowheads="1"/>
        </xdr:cNvSpPr>
      </xdr:nvSpPr>
      <xdr:spPr bwMode="auto">
        <a:xfrm>
          <a:off x="5572125" y="4933950"/>
          <a:ext cx="2143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∆Pp = Pump pressure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∆Ps = Differential pressure setting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∆Pv = Pressure loss across valve</a:t>
          </a:r>
        </a:p>
      </xdr:txBody>
    </xdr:sp>
    <xdr:clientData/>
  </xdr:twoCellAnchor>
  <xdr:twoCellAnchor editAs="oneCell">
    <xdr:from>
      <xdr:col>5</xdr:col>
      <xdr:colOff>28575</xdr:colOff>
      <xdr:row>10</xdr:row>
      <xdr:rowOff>95250</xdr:rowOff>
    </xdr:from>
    <xdr:to>
      <xdr:col>8</xdr:col>
      <xdr:colOff>47625</xdr:colOff>
      <xdr:row>18</xdr:row>
      <xdr:rowOff>9525</xdr:rowOff>
    </xdr:to>
    <xdr:pic>
      <xdr:nvPicPr>
        <xdr:cNvPr id="5289" name="Picture 5">
          <a:extLst>
            <a:ext uri="{FF2B5EF4-FFF2-40B4-BE49-F238E27FC236}">
              <a16:creationId xmlns:a16="http://schemas.microsoft.com/office/drawing/2014/main" id="{00000000-0008-0000-0500-0000A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8120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20</xdr:row>
      <xdr:rowOff>19050</xdr:rowOff>
    </xdr:from>
    <xdr:to>
      <xdr:col>9</xdr:col>
      <xdr:colOff>1047750</xdr:colOff>
      <xdr:row>30</xdr:row>
      <xdr:rowOff>76200</xdr:rowOff>
    </xdr:to>
    <xdr:pic>
      <xdr:nvPicPr>
        <xdr:cNvPr id="10382" name="Picture 1">
          <a:extLst>
            <a:ext uri="{FF2B5EF4-FFF2-40B4-BE49-F238E27FC236}">
              <a16:creationId xmlns:a16="http://schemas.microsoft.com/office/drawing/2014/main" id="{00000000-0008-0000-0600-00008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419350"/>
          <a:ext cx="37719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20</xdr:row>
      <xdr:rowOff>38100</xdr:rowOff>
    </xdr:from>
    <xdr:to>
      <xdr:col>9</xdr:col>
      <xdr:colOff>1085850</xdr:colOff>
      <xdr:row>30</xdr:row>
      <xdr:rowOff>95250</xdr:rowOff>
    </xdr:to>
    <xdr:sp macro="" textlink="">
      <xdr:nvSpPr>
        <xdr:cNvPr id="10383" name="Picture 1">
          <a:extLst>
            <a:ext uri="{FF2B5EF4-FFF2-40B4-BE49-F238E27FC236}">
              <a16:creationId xmlns:a16="http://schemas.microsoft.com/office/drawing/2014/main" id="{00000000-0008-0000-0600-00008F280000}"/>
            </a:ext>
          </a:extLst>
        </xdr:cNvPr>
        <xdr:cNvSpPr>
          <a:spLocks noChangeAspect="1" noChangeArrowheads="1"/>
        </xdr:cNvSpPr>
      </xdr:nvSpPr>
      <xdr:spPr bwMode="auto">
        <a:xfrm>
          <a:off x="3638550" y="2438400"/>
          <a:ext cx="37719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71451</xdr:colOff>
      <xdr:row>31</xdr:row>
      <xdr:rowOff>142883</xdr:rowOff>
    </xdr:from>
    <xdr:to>
      <xdr:col>9</xdr:col>
      <xdr:colOff>1349375</xdr:colOff>
      <xdr:row>34</xdr:row>
      <xdr:rowOff>158750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683264" y="4040196"/>
          <a:ext cx="1992299" cy="49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∆Pp = Pump pressure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∆Ps = Differential pressure setting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∆Pv = Pressure loss across valve</a:t>
          </a:r>
        </a:p>
      </xdr:txBody>
    </xdr:sp>
    <xdr:clientData/>
  </xdr:twoCellAnchor>
  <xdr:twoCellAnchor editAs="oneCell">
    <xdr:from>
      <xdr:col>4</xdr:col>
      <xdr:colOff>76200</xdr:colOff>
      <xdr:row>19</xdr:row>
      <xdr:rowOff>19050</xdr:rowOff>
    </xdr:from>
    <xdr:to>
      <xdr:col>4</xdr:col>
      <xdr:colOff>885825</xdr:colOff>
      <xdr:row>24</xdr:row>
      <xdr:rowOff>149225</xdr:rowOff>
    </xdr:to>
    <xdr:pic>
      <xdr:nvPicPr>
        <xdr:cNvPr id="10385" name="Billede 6">
          <a:extLst>
            <a:ext uri="{FF2B5EF4-FFF2-40B4-BE49-F238E27FC236}">
              <a16:creationId xmlns:a16="http://schemas.microsoft.com/office/drawing/2014/main" id="{00000000-0008-0000-0600-00009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2238375"/>
          <a:ext cx="809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1</xdr:row>
      <xdr:rowOff>171450</xdr:rowOff>
    </xdr:from>
    <xdr:to>
      <xdr:col>10</xdr:col>
      <xdr:colOff>219075</xdr:colOff>
      <xdr:row>14</xdr:row>
      <xdr:rowOff>33338</xdr:rowOff>
    </xdr:to>
    <xdr:pic>
      <xdr:nvPicPr>
        <xdr:cNvPr id="10386" name="Billede 7">
          <a:extLst>
            <a:ext uri="{FF2B5EF4-FFF2-40B4-BE49-F238E27FC236}">
              <a16:creationId xmlns:a16="http://schemas.microsoft.com/office/drawing/2014/main" id="{00000000-0008-0000-0600-00009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438150"/>
          <a:ext cx="28384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847725</xdr:colOff>
      <xdr:row>19</xdr:row>
      <xdr:rowOff>57150</xdr:rowOff>
    </xdr:from>
    <xdr:to>
      <xdr:col>8</xdr:col>
      <xdr:colOff>942975</xdr:colOff>
      <xdr:row>30</xdr:row>
      <xdr:rowOff>85725</xdr:rowOff>
    </xdr:to>
    <xdr:pic>
      <xdr:nvPicPr>
        <xdr:cNvPr id="6675" name="Picture 3">
          <a:extLst>
            <a:ext uri="{FF2B5EF4-FFF2-40B4-BE49-F238E27FC236}">
              <a16:creationId xmlns:a16="http://schemas.microsoft.com/office/drawing/2014/main" id="{00000000-0008-0000-0700-000013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429000"/>
          <a:ext cx="36385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30</xdr:row>
      <xdr:rowOff>161925</xdr:rowOff>
    </xdr:from>
    <xdr:to>
      <xdr:col>1</xdr:col>
      <xdr:colOff>0</xdr:colOff>
      <xdr:row>42</xdr:row>
      <xdr:rowOff>0</xdr:rowOff>
    </xdr:to>
    <xdr:sp macro="" textlink="">
      <xdr:nvSpPr>
        <xdr:cNvPr id="6676" name="Rectangle 1">
          <a:extLst>
            <a:ext uri="{FF2B5EF4-FFF2-40B4-BE49-F238E27FC236}">
              <a16:creationId xmlns:a16="http://schemas.microsoft.com/office/drawing/2014/main" id="{00000000-0008-0000-0700-0000141A0000}"/>
            </a:ext>
          </a:extLst>
        </xdr:cNvPr>
        <xdr:cNvSpPr>
          <a:spLocks noChangeArrowheads="1"/>
        </xdr:cNvSpPr>
      </xdr:nvSpPr>
      <xdr:spPr bwMode="auto">
        <a:xfrm>
          <a:off x="419100" y="5324475"/>
          <a:ext cx="66675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2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2</xdr:row>
      <xdr:rowOff>95250</xdr:rowOff>
    </xdr:from>
    <xdr:to>
      <xdr:col>9</xdr:col>
      <xdr:colOff>1019175</xdr:colOff>
      <xdr:row>16</xdr:row>
      <xdr:rowOff>66675</xdr:rowOff>
    </xdr:to>
    <xdr:pic>
      <xdr:nvPicPr>
        <xdr:cNvPr id="6677" name="Picture 2" descr="PV+S">
          <a:extLst>
            <a:ext uri="{FF2B5EF4-FFF2-40B4-BE49-F238E27FC236}">
              <a16:creationId xmlns:a16="http://schemas.microsoft.com/office/drawing/2014/main" id="{00000000-0008-0000-0700-00001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28650"/>
          <a:ext cx="308610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876300</xdr:colOff>
      <xdr:row>19</xdr:row>
      <xdr:rowOff>19050</xdr:rowOff>
    </xdr:from>
    <xdr:to>
      <xdr:col>8</xdr:col>
      <xdr:colOff>971550</xdr:colOff>
      <xdr:row>30</xdr:row>
      <xdr:rowOff>19050</xdr:rowOff>
    </xdr:to>
    <xdr:sp macro="" textlink="">
      <xdr:nvSpPr>
        <xdr:cNvPr id="6678" name="Picture 3">
          <a:extLst>
            <a:ext uri="{FF2B5EF4-FFF2-40B4-BE49-F238E27FC236}">
              <a16:creationId xmlns:a16="http://schemas.microsoft.com/office/drawing/2014/main" id="{00000000-0008-0000-0700-0000161A000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390900"/>
          <a:ext cx="363855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1028700</xdr:colOff>
      <xdr:row>27</xdr:row>
      <xdr:rowOff>123825</xdr:rowOff>
    </xdr:from>
    <xdr:to>
      <xdr:col>22</xdr:col>
      <xdr:colOff>228600</xdr:colOff>
      <xdr:row>31</xdr:row>
      <xdr:rowOff>0</xdr:rowOff>
    </xdr:to>
    <xdr:sp macro="" textlink="">
      <xdr:nvSpPr>
        <xdr:cNvPr id="9220" name="Text Box 4">
          <a:extLst>
            <a:ext uri="{FF2B5EF4-FFF2-40B4-BE49-F238E27FC236}">
              <a16:creationId xmlns:a16="http://schemas.microsoft.com/office/drawing/2014/main" id="{00000000-0008-0000-0700-000004240000}"/>
            </a:ext>
          </a:extLst>
        </xdr:cNvPr>
        <xdr:cNvSpPr txBox="1">
          <a:spLocks noChangeArrowheads="1"/>
        </xdr:cNvSpPr>
      </xdr:nvSpPr>
      <xdr:spPr bwMode="auto">
        <a:xfrm>
          <a:off x="6772275" y="4772025"/>
          <a:ext cx="2952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∆Pp = Pump pressure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∆Ps = Differential pressure setting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∆Pv = Pressure loss across valve</a:t>
          </a:r>
        </a:p>
      </xdr:txBody>
    </xdr:sp>
    <xdr:clientData/>
  </xdr:twoCellAnchor>
  <xdr:twoCellAnchor>
    <xdr:from>
      <xdr:col>2</xdr:col>
      <xdr:colOff>895350</xdr:colOff>
      <xdr:row>20</xdr:row>
      <xdr:rowOff>9525</xdr:rowOff>
    </xdr:from>
    <xdr:to>
      <xdr:col>3</xdr:col>
      <xdr:colOff>666750</xdr:colOff>
      <xdr:row>26</xdr:row>
      <xdr:rowOff>161925</xdr:rowOff>
    </xdr:to>
    <xdr:pic>
      <xdr:nvPicPr>
        <xdr:cNvPr id="6680" name="Picture 5">
          <a:extLst>
            <a:ext uri="{FF2B5EF4-FFF2-40B4-BE49-F238E27FC236}">
              <a16:creationId xmlns:a16="http://schemas.microsoft.com/office/drawing/2014/main" id="{00000000-0008-0000-0700-000018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3552825"/>
          <a:ext cx="8191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22</xdr:row>
      <xdr:rowOff>66675</xdr:rowOff>
    </xdr:from>
    <xdr:to>
      <xdr:col>6</xdr:col>
      <xdr:colOff>514350</xdr:colOff>
      <xdr:row>23</xdr:row>
      <xdr:rowOff>76200</xdr:rowOff>
    </xdr:to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00000000-0008-0000-0700-000006240000}"/>
            </a:ext>
          </a:extLst>
        </xdr:cNvPr>
        <xdr:cNvSpPr txBox="1">
          <a:spLocks noChangeArrowheads="1"/>
        </xdr:cNvSpPr>
      </xdr:nvSpPr>
      <xdr:spPr bwMode="auto">
        <a:xfrm>
          <a:off x="4667250" y="3905250"/>
          <a:ext cx="2095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</a:t>
          </a:r>
        </a:p>
      </xdr:txBody>
    </xdr:sp>
    <xdr:clientData/>
  </xdr:twoCellAnchor>
  <xdr:twoCellAnchor>
    <xdr:from>
      <xdr:col>7</xdr:col>
      <xdr:colOff>304800</xdr:colOff>
      <xdr:row>24</xdr:row>
      <xdr:rowOff>9525</xdr:rowOff>
    </xdr:from>
    <xdr:to>
      <xdr:col>7</xdr:col>
      <xdr:colOff>542925</xdr:colOff>
      <xdr:row>25</xdr:row>
      <xdr:rowOff>19050</xdr:rowOff>
    </xdr:to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00000000-0008-0000-0700-000007240000}"/>
            </a:ext>
          </a:extLst>
        </xdr:cNvPr>
        <xdr:cNvSpPr txBox="1">
          <a:spLocks noChangeArrowheads="1"/>
        </xdr:cNvSpPr>
      </xdr:nvSpPr>
      <xdr:spPr bwMode="auto">
        <a:xfrm>
          <a:off x="6048375" y="4171950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PV</a:t>
          </a:r>
        </a:p>
      </xdr:txBody>
    </xdr:sp>
    <xdr:clientData/>
  </xdr:twoCellAnchor>
  <xdr:twoCellAnchor>
    <xdr:from>
      <xdr:col>8</xdr:col>
      <xdr:colOff>590550</xdr:colOff>
      <xdr:row>5</xdr:row>
      <xdr:rowOff>47625</xdr:rowOff>
    </xdr:from>
    <xdr:to>
      <xdr:col>9</xdr:col>
      <xdr:colOff>733425</xdr:colOff>
      <xdr:row>6</xdr:row>
      <xdr:rowOff>57150</xdr:rowOff>
    </xdr:to>
    <xdr:sp macro="" textlink="">
      <xdr:nvSpPr>
        <xdr:cNvPr id="9225" name="Text Box 9">
          <a:extLst>
            <a:ext uri="{FF2B5EF4-FFF2-40B4-BE49-F238E27FC236}">
              <a16:creationId xmlns:a16="http://schemas.microsoft.com/office/drawing/2014/main" id="{00000000-0008-0000-0700-000009240000}"/>
            </a:ext>
          </a:extLst>
        </xdr:cNvPr>
        <xdr:cNvSpPr txBox="1">
          <a:spLocks noChangeArrowheads="1"/>
        </xdr:cNvSpPr>
      </xdr:nvSpPr>
      <xdr:spPr bwMode="auto">
        <a:xfrm>
          <a:off x="7381875" y="1076325"/>
          <a:ext cx="11906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Frese S (Supply)</a:t>
          </a:r>
        </a:p>
      </xdr:txBody>
    </xdr:sp>
    <xdr:clientData/>
  </xdr:twoCellAnchor>
  <xdr:twoCellAnchor>
    <xdr:from>
      <xdr:col>7</xdr:col>
      <xdr:colOff>409575</xdr:colOff>
      <xdr:row>16</xdr:row>
      <xdr:rowOff>28575</xdr:rowOff>
    </xdr:from>
    <xdr:to>
      <xdr:col>8</xdr:col>
      <xdr:colOff>600075</xdr:colOff>
      <xdr:row>17</xdr:row>
      <xdr:rowOff>57150</xdr:rowOff>
    </xdr:to>
    <xdr:sp macro="" textlink="">
      <xdr:nvSpPr>
        <xdr:cNvPr id="9226" name="Text Box 10">
          <a:extLst>
            <a:ext uri="{FF2B5EF4-FFF2-40B4-BE49-F238E27FC236}">
              <a16:creationId xmlns:a16="http://schemas.microsoft.com/office/drawing/2014/main" id="{00000000-0008-0000-0700-00000A240000}"/>
            </a:ext>
          </a:extLst>
        </xdr:cNvPr>
        <xdr:cNvSpPr txBox="1">
          <a:spLocks noChangeArrowheads="1"/>
        </xdr:cNvSpPr>
      </xdr:nvSpPr>
      <xdr:spPr bwMode="auto">
        <a:xfrm>
          <a:off x="6153150" y="2876550"/>
          <a:ext cx="1238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Frese PV (Return)</a:t>
          </a:r>
        </a:p>
      </xdr:txBody>
    </xdr:sp>
    <xdr:clientData/>
  </xdr:twoCellAnchor>
  <xdr:twoCellAnchor>
    <xdr:from>
      <xdr:col>1</xdr:col>
      <xdr:colOff>106680</xdr:colOff>
      <xdr:row>27</xdr:row>
      <xdr:rowOff>83820</xdr:rowOff>
    </xdr:from>
    <xdr:to>
      <xdr:col>1</xdr:col>
      <xdr:colOff>763905</xdr:colOff>
      <xdr:row>28</xdr:row>
      <xdr:rowOff>102870</xdr:rowOff>
    </xdr:to>
    <xdr:sp macro="" textlink="">
      <xdr:nvSpPr>
        <xdr:cNvPr id="9227" name="Text Box 11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SpPr txBox="1">
          <a:spLocks noChangeArrowheads="1"/>
        </xdr:cNvSpPr>
      </xdr:nvSpPr>
      <xdr:spPr bwMode="auto">
        <a:xfrm>
          <a:off x="1226820" y="4876800"/>
          <a:ext cx="65722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Frese PV</a:t>
          </a:r>
        </a:p>
      </xdr:txBody>
    </xdr:sp>
    <xdr:clientData/>
  </xdr:twoCellAnchor>
  <xdr:twoCellAnchor>
    <xdr:from>
      <xdr:col>2</xdr:col>
      <xdr:colOff>1022985</xdr:colOff>
      <xdr:row>27</xdr:row>
      <xdr:rowOff>70485</xdr:rowOff>
    </xdr:from>
    <xdr:to>
      <xdr:col>3</xdr:col>
      <xdr:colOff>472440</xdr:colOff>
      <xdr:row>28</xdr:row>
      <xdr:rowOff>70485</xdr:rowOff>
    </xdr:to>
    <xdr:sp macro="" textlink="">
      <xdr:nvSpPr>
        <xdr:cNvPr id="9228" name="Text Box 12">
          <a:extLst>
            <a:ext uri="{FF2B5EF4-FFF2-40B4-BE49-F238E27FC236}">
              <a16:creationId xmlns:a16="http://schemas.microsoft.com/office/drawing/2014/main" id="{00000000-0008-0000-0700-00000C240000}"/>
            </a:ext>
          </a:extLst>
        </xdr:cNvPr>
        <xdr:cNvSpPr txBox="1">
          <a:spLocks noChangeArrowheads="1"/>
        </xdr:cNvSpPr>
      </xdr:nvSpPr>
      <xdr:spPr bwMode="auto">
        <a:xfrm>
          <a:off x="3263265" y="4863465"/>
          <a:ext cx="52387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Frese S</a:t>
          </a:r>
        </a:p>
      </xdr:txBody>
    </xdr:sp>
    <xdr:clientData/>
  </xdr:twoCellAnchor>
  <xdr:twoCellAnchor>
    <xdr:from>
      <xdr:col>0</xdr:col>
      <xdr:colOff>419100</xdr:colOff>
      <xdr:row>31</xdr:row>
      <xdr:rowOff>9525</xdr:rowOff>
    </xdr:from>
    <xdr:to>
      <xdr:col>0</xdr:col>
      <xdr:colOff>419100</xdr:colOff>
      <xdr:row>42</xdr:row>
      <xdr:rowOff>9525</xdr:rowOff>
    </xdr:to>
    <xdr:sp macro="" textlink="">
      <xdr:nvSpPr>
        <xdr:cNvPr id="6687" name="Line 13">
          <a:extLst>
            <a:ext uri="{FF2B5EF4-FFF2-40B4-BE49-F238E27FC236}">
              <a16:creationId xmlns:a16="http://schemas.microsoft.com/office/drawing/2014/main" id="{00000000-0008-0000-0700-00001F1A0000}"/>
            </a:ext>
          </a:extLst>
        </xdr:cNvPr>
        <xdr:cNvSpPr>
          <a:spLocks noChangeShapeType="1"/>
        </xdr:cNvSpPr>
      </xdr:nvSpPr>
      <xdr:spPr bwMode="auto">
        <a:xfrm>
          <a:off x="419100" y="5343525"/>
          <a:ext cx="0" cy="1800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419100</xdr:colOff>
      <xdr:row>32</xdr:row>
      <xdr:rowOff>0</xdr:rowOff>
    </xdr:from>
    <xdr:to>
      <xdr:col>0</xdr:col>
      <xdr:colOff>1076325</xdr:colOff>
      <xdr:row>32</xdr:row>
      <xdr:rowOff>0</xdr:rowOff>
    </xdr:to>
    <xdr:sp macro="" textlink="">
      <xdr:nvSpPr>
        <xdr:cNvPr id="6688" name="Line 14">
          <a:extLst>
            <a:ext uri="{FF2B5EF4-FFF2-40B4-BE49-F238E27FC236}">
              <a16:creationId xmlns:a16="http://schemas.microsoft.com/office/drawing/2014/main" id="{00000000-0008-0000-0700-0000201A0000}"/>
            </a:ext>
          </a:extLst>
        </xdr:cNvPr>
        <xdr:cNvSpPr>
          <a:spLocks noChangeShapeType="1"/>
        </xdr:cNvSpPr>
      </xdr:nvSpPr>
      <xdr:spPr bwMode="auto">
        <a:xfrm>
          <a:off x="419100" y="5505450"/>
          <a:ext cx="6572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1009650</xdr:colOff>
      <xdr:row>31</xdr:row>
      <xdr:rowOff>9525</xdr:rowOff>
    </xdr:from>
    <xdr:to>
      <xdr:col>1</xdr:col>
      <xdr:colOff>38100</xdr:colOff>
      <xdr:row>31</xdr:row>
      <xdr:rowOff>161925</xdr:rowOff>
    </xdr:to>
    <xdr:sp macro="" textlink="">
      <xdr:nvSpPr>
        <xdr:cNvPr id="6689" name="Rectangle 15">
          <a:extLst>
            <a:ext uri="{FF2B5EF4-FFF2-40B4-BE49-F238E27FC236}">
              <a16:creationId xmlns:a16="http://schemas.microsoft.com/office/drawing/2014/main" id="{00000000-0008-0000-0700-0000211A0000}"/>
            </a:ext>
          </a:extLst>
        </xdr:cNvPr>
        <xdr:cNvSpPr>
          <a:spLocks noChangeArrowheads="1"/>
        </xdr:cNvSpPr>
      </xdr:nvSpPr>
      <xdr:spPr bwMode="auto">
        <a:xfrm>
          <a:off x="1009650" y="5343525"/>
          <a:ext cx="1143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933450</xdr:colOff>
      <xdr:row>19</xdr:row>
      <xdr:rowOff>161925</xdr:rowOff>
    </xdr:from>
    <xdr:to>
      <xdr:col>1</xdr:col>
      <xdr:colOff>1038225</xdr:colOff>
      <xdr:row>26</xdr:row>
      <xdr:rowOff>142875</xdr:rowOff>
    </xdr:to>
    <xdr:pic>
      <xdr:nvPicPr>
        <xdr:cNvPr id="6690" name="Picture 17">
          <a:extLst>
            <a:ext uri="{FF2B5EF4-FFF2-40B4-BE49-F238E27FC236}">
              <a16:creationId xmlns:a16="http://schemas.microsoft.com/office/drawing/2014/main" id="{00000000-0008-0000-0700-00002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533775"/>
          <a:ext cx="11906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zoomScaleNormal="100" workbookViewId="0">
      <selection activeCell="D60" sqref="D60"/>
    </sheetView>
  </sheetViews>
  <sheetFormatPr defaultColWidth="8.85546875" defaultRowHeight="12.75" x14ac:dyDescent="0.2"/>
  <cols>
    <col min="1" max="2" width="14.28515625" customWidth="1"/>
    <col min="3" max="3" width="15.7109375" customWidth="1"/>
    <col min="4" max="4" width="16.42578125" customWidth="1"/>
    <col min="5" max="5" width="15.7109375" hidden="1" customWidth="1"/>
    <col min="6" max="6" width="15.7109375" customWidth="1"/>
    <col min="7" max="8" width="10.7109375" customWidth="1"/>
    <col min="9" max="9" width="10.7109375" hidden="1" customWidth="1"/>
    <col min="10" max="10" width="10.7109375" customWidth="1"/>
    <col min="11" max="11" width="20.42578125" bestFit="1" customWidth="1"/>
    <col min="15" max="16" width="20.28515625" bestFit="1" customWidth="1"/>
  </cols>
  <sheetData>
    <row r="1" spans="1:12" ht="21" thickTop="1" x14ac:dyDescent="0.3">
      <c r="A1" s="719" t="s">
        <v>66</v>
      </c>
      <c r="B1" s="720"/>
      <c r="C1" s="720"/>
      <c r="D1" s="720"/>
      <c r="E1" s="720"/>
      <c r="F1" s="720"/>
      <c r="G1" s="720"/>
      <c r="H1" s="720"/>
      <c r="I1" s="720"/>
      <c r="J1" s="720"/>
      <c r="K1" s="529"/>
      <c r="L1" s="6"/>
    </row>
    <row r="2" spans="1:12" ht="21" thickBot="1" x14ac:dyDescent="0.35">
      <c r="A2" s="532" t="s">
        <v>67</v>
      </c>
      <c r="B2" s="533"/>
      <c r="C2" s="533"/>
      <c r="D2" s="533"/>
      <c r="E2" s="533"/>
      <c r="F2" s="533"/>
      <c r="G2" s="533"/>
      <c r="H2" s="533"/>
      <c r="I2" s="533"/>
      <c r="J2" s="533"/>
      <c r="K2" s="534"/>
      <c r="L2" s="6"/>
    </row>
    <row r="3" spans="1:12" ht="13.5" thickTop="1" x14ac:dyDescent="0.2">
      <c r="A3" s="22"/>
      <c r="B3" s="62"/>
      <c r="C3" s="62"/>
      <c r="D3" s="23"/>
      <c r="E3" s="23"/>
      <c r="F3" s="23"/>
      <c r="G3" s="23"/>
      <c r="H3" s="23"/>
      <c r="I3" s="23"/>
      <c r="J3" s="23"/>
      <c r="K3" s="24"/>
    </row>
    <row r="4" spans="1:12" ht="13.5" thickBot="1" x14ac:dyDescent="0.25">
      <c r="A4" s="26"/>
      <c r="B4" s="21" t="s">
        <v>25</v>
      </c>
      <c r="C4" s="10"/>
      <c r="D4" s="36"/>
      <c r="G4" s="10"/>
      <c r="H4" s="10"/>
      <c r="I4" s="10"/>
      <c r="J4" s="10"/>
      <c r="K4" s="25"/>
    </row>
    <row r="5" spans="1:12" hidden="1" x14ac:dyDescent="0.2">
      <c r="A5" s="37" t="s">
        <v>68</v>
      </c>
      <c r="B5" s="38">
        <v>20</v>
      </c>
      <c r="C5" s="28" t="s">
        <v>69</v>
      </c>
      <c r="G5" s="10"/>
      <c r="H5" s="10"/>
      <c r="I5" s="10"/>
      <c r="J5" s="10"/>
      <c r="K5" s="25"/>
    </row>
    <row r="6" spans="1:12" ht="13.5" thickBot="1" x14ac:dyDescent="0.25">
      <c r="A6" s="37" t="s">
        <v>70</v>
      </c>
      <c r="B6" s="536">
        <v>1200</v>
      </c>
      <c r="C6" s="28" t="s">
        <v>71</v>
      </c>
      <c r="D6" s="67"/>
      <c r="G6" s="10"/>
      <c r="H6" s="27"/>
      <c r="I6" s="10"/>
      <c r="J6" s="10"/>
      <c r="K6" s="25"/>
    </row>
    <row r="7" spans="1:12" x14ac:dyDescent="0.2">
      <c r="A7" s="26"/>
      <c r="B7" s="10"/>
      <c r="C7" s="10"/>
      <c r="G7" s="10"/>
      <c r="H7" s="27"/>
      <c r="I7" s="10"/>
      <c r="J7" s="10"/>
      <c r="K7" s="25"/>
    </row>
    <row r="8" spans="1:12" ht="13.5" thickBot="1" x14ac:dyDescent="0.25">
      <c r="A8" s="26"/>
      <c r="B8" s="10"/>
      <c r="C8" s="10"/>
      <c r="D8" s="10"/>
      <c r="E8" s="29"/>
      <c r="F8" s="10"/>
      <c r="G8" s="10"/>
      <c r="H8" s="10"/>
      <c r="I8" s="10"/>
      <c r="J8" s="10"/>
      <c r="K8" s="25"/>
    </row>
    <row r="9" spans="1:12" ht="13.5" thickTop="1" x14ac:dyDescent="0.2">
      <c r="A9" s="716" t="s">
        <v>24</v>
      </c>
      <c r="B9" s="718" t="s">
        <v>61</v>
      </c>
      <c r="C9" s="718"/>
      <c r="D9" s="714" t="s">
        <v>72</v>
      </c>
      <c r="E9" s="714"/>
      <c r="F9" s="715"/>
      <c r="G9" s="10"/>
      <c r="H9" s="10"/>
      <c r="I9" s="10"/>
      <c r="J9" s="10"/>
      <c r="K9" s="25"/>
    </row>
    <row r="10" spans="1:12" x14ac:dyDescent="0.2">
      <c r="A10" s="717"/>
      <c r="B10" s="578" t="s">
        <v>55</v>
      </c>
      <c r="C10" s="578" t="s">
        <v>62</v>
      </c>
      <c r="D10" s="68" t="s">
        <v>63</v>
      </c>
      <c r="E10" s="69" t="s">
        <v>73</v>
      </c>
      <c r="F10" s="70" t="s">
        <v>74</v>
      </c>
      <c r="G10" s="10"/>
      <c r="H10" s="10"/>
      <c r="I10" s="10"/>
      <c r="J10" s="10"/>
      <c r="K10" s="25"/>
    </row>
    <row r="11" spans="1:12" x14ac:dyDescent="0.2">
      <c r="A11" s="579" t="s">
        <v>75</v>
      </c>
      <c r="B11" s="568" t="s">
        <v>76</v>
      </c>
      <c r="C11" s="568" t="s">
        <v>77</v>
      </c>
      <c r="D11" s="71" t="str">
        <f>IF(J39="UDEN FOR OMRÅDET","NOT POSSIBLE",IF(K39="UDEN FOR OMRÅDET","NOT POSSIBLE",(-1.416859E-16*B6^6+0.0000000000004973587*B6^5-0.0000000006302845*B6^4+0.0000003677696*B6^3-0.0001030106*B6^2+0.02421216*B6+0.4984559)))</f>
        <v>NOT POSSIBLE</v>
      </c>
      <c r="E11" s="40" t="e">
        <f>-0.0001914848*D11^5+0.0053285439*D11^4-0.054883786*D11^3+0.2534175671*D11^2-0.2481945056*D11+0.1333828468</f>
        <v>#VALUE!</v>
      </c>
      <c r="F11" s="42" t="str">
        <f>IF(J39="UDEN FOR OMRÅDET","NOT POSSIBLE",IF(B6&lt;50,8,(((($B$6/1000)/E11)^2)*100)))</f>
        <v>NOT POSSIBLE</v>
      </c>
      <c r="G11" s="10"/>
      <c r="H11" s="10"/>
      <c r="I11" s="10"/>
      <c r="J11" s="10"/>
      <c r="K11" s="25"/>
    </row>
    <row r="12" spans="1:12" x14ac:dyDescent="0.2">
      <c r="A12" s="580" t="s">
        <v>78</v>
      </c>
      <c r="B12" s="279" t="s">
        <v>79</v>
      </c>
      <c r="C12" s="279" t="s">
        <v>80</v>
      </c>
      <c r="D12" s="72" t="str">
        <f>IF(J40="UDEN FOR OMRÅDET","NOT POSSIBLE",IF(K40="UDEN FOR OMRÅDET","NOT POSSIBLE",(-8.370525E-18*B6^6+4.595217E-14*B6^5-0.00000000008196175*B6^4+0.00000006465865*B6^3-0.00002581107*B6^2+0.01404484*B6+0.4946178)))</f>
        <v>NOT POSSIBLE</v>
      </c>
      <c r="E12" s="40" t="e">
        <f>-0.0001313737*D12^5+0.0033025825*D12^4-0.030488192*D12^3+0.130530682*D12^2-0.0056293818*D12+0.0026799239</f>
        <v>#VALUE!</v>
      </c>
      <c r="F12" s="73" t="str">
        <f>IF(J40="UDEN FOR OMRÅDET","NOT POSSIBLE",IF(B6&lt;55,16,(((($B$6/1000)/E12)^2)*100)))</f>
        <v>NOT POSSIBLE</v>
      </c>
      <c r="G12" s="10"/>
      <c r="H12" s="10"/>
      <c r="I12" s="10"/>
      <c r="J12" s="10"/>
      <c r="K12" s="25"/>
    </row>
    <row r="13" spans="1:12" x14ac:dyDescent="0.2">
      <c r="A13" s="579" t="s">
        <v>81</v>
      </c>
      <c r="B13" s="568" t="s">
        <v>82</v>
      </c>
      <c r="C13" s="568" t="s">
        <v>83</v>
      </c>
      <c r="D13" s="72">
        <f>IF(J41="UDEN FOR OMRÅDET","NOT POSSIBLE",IF(K41="UDEN FOR OMRÅDET","NOT POSSIBLE",(1.282055E-17*B6^6-3.215346E-14*B6^5+0.00000000001758545*B6^4+0.00000001342106*B6^3-0.00001618215*B6^2+0.01146886*B6+0.6190952)))</f>
        <v>9.0100715840000039</v>
      </c>
      <c r="E13" s="40">
        <f>-0.0002922512*D13^5+0.0079441211*D13^4-0.081093891*D13^3+0.3716534766*D13^2-0.315676037*D13+0.1555909698</f>
        <v>3.1676981043788439</v>
      </c>
      <c r="F13" s="73">
        <f>IF(J41="UDEN FOR OMRÅDET","NOT POSSIBLE",IF(B6&lt;65,9,(((($B$6/1000)/E13)^2)*100)))</f>
        <v>14.350760702436096</v>
      </c>
      <c r="G13" s="10"/>
      <c r="H13" s="10"/>
      <c r="I13" s="10"/>
      <c r="J13" s="10"/>
      <c r="K13" s="25"/>
    </row>
    <row r="14" spans="1:12" x14ac:dyDescent="0.2">
      <c r="A14" s="580" t="s">
        <v>84</v>
      </c>
      <c r="B14" s="279" t="s">
        <v>85</v>
      </c>
      <c r="C14" s="279" t="s">
        <v>86</v>
      </c>
      <c r="D14" s="72">
        <f>IF(J42="UDEN FOR OMRÅDET","NOT POSSIBLE",IF(K42="UDEN FOR OMRÅDET","NOT POSSIBLE",(4.558531E-19*B6^6-2.754187E-16*B6^5-0.000000000004851288*B6^4+0.00000001154931*B6^3-0.0000104237*B6^2+0.008926086*B6+0.5092975)))</f>
        <v>6.783889786566399</v>
      </c>
      <c r="E14" s="40">
        <f>-0.0002702024*D14^5+0.0070152744*D14^4-0.0684282308*D14^3+0.303994227*D14^2-0.158105984*D14+0.1037020483</f>
        <v>2.6335665035817084</v>
      </c>
      <c r="F14" s="73">
        <f>IF(J42="UDEN FOR OMRÅDET","NOT POSSIBLE",IF(B6&lt;88,12,(((($B$6/1000)/E14)^2)*100)))</f>
        <v>20.762225927234258</v>
      </c>
      <c r="G14" s="10"/>
      <c r="H14" s="10"/>
      <c r="I14" s="10"/>
      <c r="J14" s="10"/>
      <c r="K14" s="25"/>
    </row>
    <row r="15" spans="1:12" x14ac:dyDescent="0.2">
      <c r="A15" s="579" t="s">
        <v>87</v>
      </c>
      <c r="B15" s="568" t="s">
        <v>88</v>
      </c>
      <c r="C15" s="568" t="s">
        <v>83</v>
      </c>
      <c r="D15" s="72">
        <f>IF(J43="UDEN FOR OMRÅDET","NOT POSSIBLE",IF(K43="UDEN FOR OMRÅDET","NOT POSSIBLE",(5.301715E-18*B6^6-2.338106E-14*B6^5+0.00000000003790071*B6^4-0.00000002608803*B6^3+0.00000547309*B6^2+0.005587611*B6+0.6916941)))</f>
        <v>6.4401502593600091</v>
      </c>
      <c r="E15" s="40">
        <f>-0.0001250173*D15^5+0.0038019997*D15^4-0.0461407467*D15^3+0.2422158614*D15^2+0.0516844959*D15-0.0473246139</f>
        <v>3.1622448508485328</v>
      </c>
      <c r="F15" s="73">
        <f>IF(J43="UDEN FOR OMRÅDET","NOT POSSIBLE",IF(B6&lt;72,9,(((($B$6/1000)/E15)^2)*100)))</f>
        <v>14.400298810926419</v>
      </c>
      <c r="G15" s="10"/>
      <c r="H15" s="10"/>
      <c r="I15" s="10"/>
      <c r="J15" s="10"/>
      <c r="K15" s="25"/>
    </row>
    <row r="16" spans="1:12" x14ac:dyDescent="0.2">
      <c r="A16" s="580" t="s">
        <v>89</v>
      </c>
      <c r="B16" s="279" t="s">
        <v>90</v>
      </c>
      <c r="C16" s="279" t="s">
        <v>86</v>
      </c>
      <c r="D16" s="72">
        <f>IF(J44="UDEN FOR OMRÅDET","NOT POSSIBLE",IF(K44="UDEN FOR OMRÅDET","NOT POSSIBLE",(5.707474E-19*B6^6-3.439083E-15*B6^5+0.000000000007387863*B6^4-0.000000006100564*B6^3+0.0000003601231*B6^2+0.004834756*B6+0.6250701)))</f>
        <v>4.8697562826815997</v>
      </c>
      <c r="E16" s="40">
        <f>-0.0001720525*D16^5+0.0050695668*D16^4-0.0602406174*D16^3+0.3152398884*D16^2-0.0451710556*D16+0.0404546674</f>
        <v>2.7192475236579186</v>
      </c>
      <c r="F16" s="73">
        <f>IF(J44="UDEN FOR OMRÅDET","NOT POSSIBLE",IF(B6&lt;120,12,(((($B$6/1000)/E16)^2)*100)))</f>
        <v>19.474441371110427</v>
      </c>
      <c r="G16" s="10"/>
      <c r="H16" s="10"/>
      <c r="I16" s="10"/>
      <c r="J16" s="10"/>
      <c r="K16" s="25"/>
    </row>
    <row r="17" spans="1:11" x14ac:dyDescent="0.2">
      <c r="A17" s="579" t="s">
        <v>91</v>
      </c>
      <c r="B17" s="568" t="s">
        <v>92</v>
      </c>
      <c r="C17" s="568" t="s">
        <v>93</v>
      </c>
      <c r="D17" s="72">
        <f>IF(J45="UDEN FOR OMRÅDET","NOT POSSIBLE",IF(K45="UDEN FOR OMRÅDET","NOT POSSIBLE",(9.688725E-21*B6^6-1.260236E-16*B6^5+0.0000000000006151922*B6^4-0.000000001374114*B6^3+0.000001309833*B6^2+0.001458119*B6+0.6703696)))</f>
        <v>2.9228088073984004</v>
      </c>
      <c r="E17" s="40">
        <f xml:space="preserve"> -0.0002207819*D17^5+0.0048575488*D17^4-0.042801013*D17^3+0.1612668541*D17^2+0.9429656517*D17-0.4890993807</f>
        <v>2.8833906658725916</v>
      </c>
      <c r="F17" s="73">
        <f>IF(J45="UDEN FOR OMRÅDET","NOT POSSIBLE",IF(B6&lt;300,14,(((($B$6/1000)/E17)^2)*100)))</f>
        <v>17.320304212024592</v>
      </c>
      <c r="G17" s="10"/>
      <c r="H17" s="10"/>
      <c r="I17" s="10"/>
      <c r="J17" s="10"/>
      <c r="K17" s="25"/>
    </row>
    <row r="18" spans="1:11" x14ac:dyDescent="0.2">
      <c r="A18" s="580" t="s">
        <v>94</v>
      </c>
      <c r="B18" s="279" t="s">
        <v>95</v>
      </c>
      <c r="C18" s="279" t="s">
        <v>96</v>
      </c>
      <c r="D18" s="72">
        <f>IF(J46="UDEN FOR OMRÅDET","NOT POSSIBLE",IF(K46="UDEN FOR OMRÅDET","NOT POSSIBLE",(2.890134E-22*B6^6-4.367951E-18*B6^5+1.580866E-14*B6^4+0.0000000000465504*B6^3-0.0000003855707*B6^2+0.001792376*B6+0.7499365)))</f>
        <v>2.4487799501318657</v>
      </c>
      <c r="E18" s="40">
        <f>-0.0012675993*D18^5+0.0341544632*D18^4-0.344969967*D18^3+1.5414329114*D18^2-1.1127621642*D18+0.3349824205</f>
        <v>2.9042338152531664</v>
      </c>
      <c r="F18" s="73">
        <f>IF(J46="UDEN FOR OMRÅDET","NOT POSSIBLE",IF(B6&lt;275,15,(((($B$6/1000)/E18)^2)*100)))</f>
        <v>17.072587078361707</v>
      </c>
      <c r="G18" s="10"/>
      <c r="H18" s="10"/>
      <c r="I18" s="10"/>
      <c r="J18" s="10"/>
      <c r="K18" s="25"/>
    </row>
    <row r="19" spans="1:11" ht="13.5" thickBot="1" x14ac:dyDescent="0.25">
      <c r="A19" s="581" t="s">
        <v>97</v>
      </c>
      <c r="B19" s="573" t="s">
        <v>98</v>
      </c>
      <c r="C19" s="573" t="s">
        <v>99</v>
      </c>
      <c r="D19" s="74">
        <f>IF(J47="UDEN FOR OMRÅDET","NOT POSSIBLE",IF(K47="UDEN FOR OMRÅDET","NOT POSSIBLE",(9.139688E-23*B6^6-2.57758E-18*B6^5+2.726717E-14*B6^4-0.0000000001313964*B6^3+0.0000002746298*B6^2+0.0006078528*B6+0.721324)))</f>
        <v>1.66956156226773</v>
      </c>
      <c r="E19" s="43">
        <f>-0.000196373*D19^5+0.0050851175*D19^4-0.0540651414*D19^3+0.1694730368*D19^2+2.4082032907*D19-1.4693911114</f>
        <v>2.8090025831667411</v>
      </c>
      <c r="F19" s="44">
        <f>IF(J47="UDEN FOR OMRÅDET","NOT POSSIBLE",IF(B6&lt;670,17,(((($B$6/1000)/E19)^2)*100)))</f>
        <v>18.249804435813871</v>
      </c>
      <c r="G19" s="10"/>
      <c r="H19" s="10"/>
      <c r="I19" s="10"/>
      <c r="J19" s="10"/>
      <c r="K19" s="25"/>
    </row>
    <row r="20" spans="1:11" ht="13.5" thickTop="1" x14ac:dyDescent="0.2">
      <c r="A20" s="26"/>
      <c r="B20" s="10"/>
      <c r="C20" s="10"/>
      <c r="D20" s="10"/>
      <c r="E20" s="30"/>
      <c r="F20" s="10"/>
      <c r="G20" s="10"/>
      <c r="H20" s="10"/>
      <c r="I20" s="10"/>
      <c r="J20" s="10"/>
      <c r="K20" s="25"/>
    </row>
    <row r="21" spans="1:11" x14ac:dyDescent="0.2">
      <c r="A21" s="26"/>
      <c r="B21" s="10"/>
      <c r="C21" s="10"/>
      <c r="D21" s="10"/>
      <c r="E21" s="36"/>
      <c r="F21" s="36"/>
      <c r="G21" s="10"/>
      <c r="H21" s="10"/>
      <c r="I21" s="10"/>
      <c r="J21" s="10"/>
      <c r="K21" s="25"/>
    </row>
    <row r="22" spans="1:11" x14ac:dyDescent="0.2">
      <c r="A22" s="26"/>
      <c r="B22" s="10"/>
      <c r="C22" s="10"/>
      <c r="D22" s="10"/>
      <c r="E22" s="75"/>
      <c r="G22" s="10"/>
      <c r="H22" s="10"/>
      <c r="I22" s="10"/>
      <c r="J22" s="10"/>
      <c r="K22" s="25"/>
    </row>
    <row r="23" spans="1:11" x14ac:dyDescent="0.2">
      <c r="A23" s="26"/>
      <c r="B23" s="10"/>
      <c r="C23" s="10"/>
      <c r="D23" s="10"/>
      <c r="E23" s="76"/>
      <c r="G23" s="10"/>
      <c r="H23" s="10"/>
      <c r="I23" s="10"/>
      <c r="J23" s="10"/>
      <c r="K23" s="25"/>
    </row>
    <row r="24" spans="1:11" x14ac:dyDescent="0.2">
      <c r="A24" s="26"/>
      <c r="B24" s="10"/>
      <c r="C24" s="10"/>
      <c r="D24" s="10"/>
      <c r="E24" s="76"/>
      <c r="G24" s="10"/>
      <c r="H24" s="10"/>
      <c r="I24" s="10"/>
      <c r="J24" s="10"/>
      <c r="K24" s="25"/>
    </row>
    <row r="25" spans="1:11" x14ac:dyDescent="0.2">
      <c r="A25" s="26"/>
      <c r="B25" s="10"/>
      <c r="C25" s="10"/>
      <c r="D25" s="10"/>
      <c r="E25" s="76"/>
      <c r="G25" s="10"/>
      <c r="H25" s="10"/>
      <c r="I25" s="10"/>
      <c r="J25" s="10"/>
      <c r="K25" s="25"/>
    </row>
    <row r="26" spans="1:11" x14ac:dyDescent="0.2">
      <c r="A26" s="26"/>
      <c r="B26" s="10"/>
      <c r="C26" s="10"/>
      <c r="D26" s="10"/>
      <c r="E26" s="76"/>
      <c r="G26" s="10"/>
      <c r="H26" s="10"/>
      <c r="I26" s="10"/>
      <c r="J26" s="10"/>
      <c r="K26" s="25"/>
    </row>
    <row r="27" spans="1:11" x14ac:dyDescent="0.2">
      <c r="A27" s="26"/>
      <c r="B27" s="10"/>
      <c r="C27" s="10"/>
      <c r="D27" s="10"/>
      <c r="E27" s="76"/>
      <c r="G27" s="10"/>
      <c r="H27" s="10"/>
      <c r="I27" s="10"/>
      <c r="J27" s="10"/>
      <c r="K27" s="25"/>
    </row>
    <row r="28" spans="1:11" x14ac:dyDescent="0.2">
      <c r="A28" s="26"/>
      <c r="B28" s="10"/>
      <c r="C28" s="10"/>
      <c r="D28" s="10"/>
      <c r="E28" s="76"/>
      <c r="G28" s="10"/>
      <c r="H28" s="10"/>
      <c r="I28" s="10"/>
      <c r="J28" s="10"/>
      <c r="K28" s="25"/>
    </row>
    <row r="29" spans="1:11" x14ac:dyDescent="0.2">
      <c r="A29" s="26"/>
      <c r="B29" s="10"/>
      <c r="C29" s="10"/>
      <c r="D29" s="10"/>
      <c r="E29" s="76"/>
      <c r="G29" s="10"/>
      <c r="H29" s="10"/>
      <c r="I29" s="10"/>
      <c r="J29" s="10"/>
      <c r="K29" s="25"/>
    </row>
    <row r="30" spans="1:11" x14ac:dyDescent="0.2">
      <c r="A30" s="26"/>
      <c r="B30" s="10"/>
      <c r="C30" s="10"/>
      <c r="D30" s="10"/>
      <c r="E30" s="76"/>
      <c r="G30" s="10"/>
      <c r="H30" s="10"/>
      <c r="I30" s="10"/>
      <c r="J30" s="10"/>
      <c r="K30" s="25"/>
    </row>
    <row r="31" spans="1:11" x14ac:dyDescent="0.2">
      <c r="A31" s="26"/>
      <c r="B31" s="10"/>
      <c r="C31" s="10"/>
      <c r="D31" s="10"/>
      <c r="E31" s="76"/>
      <c r="G31" s="10"/>
      <c r="H31" s="10"/>
      <c r="I31" s="10"/>
      <c r="J31" s="10"/>
      <c r="K31" s="25"/>
    </row>
    <row r="32" spans="1:11" x14ac:dyDescent="0.2">
      <c r="A32" s="26"/>
      <c r="B32" s="10"/>
      <c r="C32" s="10"/>
      <c r="D32" s="10"/>
      <c r="E32" s="10"/>
      <c r="F32" s="31"/>
      <c r="G32" s="10"/>
      <c r="H32" s="10"/>
      <c r="I32" s="10"/>
      <c r="J32" s="10"/>
      <c r="K32" s="25"/>
    </row>
    <row r="33" spans="1:16" ht="13.5" thickBot="1" x14ac:dyDescent="0.25">
      <c r="A33" s="32" t="s">
        <v>65</v>
      </c>
      <c r="B33" s="34"/>
      <c r="C33" s="34"/>
      <c r="D33" s="33"/>
      <c r="E33" s="33"/>
      <c r="F33" s="34"/>
      <c r="G33" s="34"/>
      <c r="H33" s="34"/>
      <c r="I33" s="34"/>
      <c r="J33" s="34"/>
      <c r="K33" s="35"/>
    </row>
    <row r="34" spans="1:16" ht="10.5" customHeight="1" thickTop="1" x14ac:dyDescent="0.2">
      <c r="D34" s="77"/>
      <c r="E34" s="77"/>
    </row>
    <row r="35" spans="1:16" x14ac:dyDescent="0.2">
      <c r="D35" s="77"/>
      <c r="E35" s="77"/>
    </row>
    <row r="36" spans="1:16" s="4" customFormat="1" ht="31.5" hidden="1" customHeight="1" x14ac:dyDescent="0.4">
      <c r="A36" s="712" t="s">
        <v>11</v>
      </c>
      <c r="B36" s="712"/>
      <c r="C36" s="712"/>
      <c r="D36" s="713"/>
      <c r="E36" s="713"/>
      <c r="F36" s="713"/>
      <c r="G36" s="713"/>
      <c r="H36" s="713"/>
      <c r="I36" s="713"/>
      <c r="J36" s="713"/>
      <c r="K36" s="713"/>
      <c r="L36" s="7"/>
      <c r="M36" s="5"/>
      <c r="N36" s="5"/>
      <c r="O36" s="5"/>
      <c r="P36" s="5"/>
    </row>
    <row r="37" spans="1:16" ht="13.5" hidden="1" thickBot="1" x14ac:dyDescent="0.25"/>
    <row r="38" spans="1:16" ht="13.5" hidden="1" thickTop="1" x14ac:dyDescent="0.2">
      <c r="A38" s="11" t="s">
        <v>0</v>
      </c>
      <c r="B38" s="64"/>
      <c r="C38" s="64"/>
      <c r="D38" s="12" t="s">
        <v>1</v>
      </c>
      <c r="E38" s="12" t="s">
        <v>2</v>
      </c>
      <c r="F38" s="12" t="s">
        <v>3</v>
      </c>
      <c r="G38" s="12" t="s">
        <v>8</v>
      </c>
      <c r="H38" s="12" t="s">
        <v>4</v>
      </c>
      <c r="I38" s="12" t="s">
        <v>5</v>
      </c>
      <c r="J38" s="13" t="s">
        <v>6</v>
      </c>
      <c r="K38" s="14" t="s">
        <v>7</v>
      </c>
    </row>
    <row r="39" spans="1:16" hidden="1" x14ac:dyDescent="0.2">
      <c r="A39" s="15" t="s">
        <v>75</v>
      </c>
      <c r="B39" s="65"/>
      <c r="C39" s="65"/>
      <c r="D39" s="8"/>
      <c r="E39" s="78"/>
      <c r="F39" s="79"/>
      <c r="G39" s="80">
        <v>2.2000000000000002</v>
      </c>
      <c r="H39" s="45">
        <v>25</v>
      </c>
      <c r="I39" s="1">
        <v>804</v>
      </c>
      <c r="J39" s="2" t="str">
        <f t="shared" ref="J39:J47" si="0">IF($B$6&lt;=H39-1,"UDEN FOR OMRÅDET",IF($B$6&gt;=I39+1,"UDEN FOR OMRÅDET",$B$6))</f>
        <v>UDEN FOR OMRÅDET</v>
      </c>
      <c r="K39" s="16">
        <f>IF($B$5&lt;=7,"UDEN FOR OMRÅDET",IF($B$5&gt;=401,"UDEN FOR OMRÅDET",$B$5))</f>
        <v>20</v>
      </c>
    </row>
    <row r="40" spans="1:16" hidden="1" x14ac:dyDescent="0.2">
      <c r="A40" s="15" t="s">
        <v>78</v>
      </c>
      <c r="B40" s="65"/>
      <c r="C40" s="65"/>
      <c r="D40" s="8"/>
      <c r="E40" s="78"/>
      <c r="F40" s="81"/>
      <c r="G40" s="80">
        <v>2.4</v>
      </c>
      <c r="H40" s="45">
        <v>40</v>
      </c>
      <c r="I40" s="1">
        <v>1100</v>
      </c>
      <c r="J40" s="2" t="str">
        <f t="shared" si="0"/>
        <v>UDEN FOR OMRÅDET</v>
      </c>
      <c r="K40" s="16">
        <f>IF($B$5&lt;=15,"UDEN FOR OMRÅDET",IF($B$5&gt;=401,"UDEN FOR OMRÅDET",$B$5))</f>
        <v>20</v>
      </c>
    </row>
    <row r="41" spans="1:16" hidden="1" x14ac:dyDescent="0.2">
      <c r="A41" s="15" t="s">
        <v>81</v>
      </c>
      <c r="B41" s="65"/>
      <c r="C41" s="65"/>
      <c r="D41" s="8"/>
      <c r="E41" s="78"/>
      <c r="F41" s="81"/>
      <c r="G41" s="80">
        <v>3.3</v>
      </c>
      <c r="H41" s="45">
        <v>41</v>
      </c>
      <c r="I41" s="1">
        <v>1265</v>
      </c>
      <c r="J41" s="2">
        <f t="shared" si="0"/>
        <v>1200</v>
      </c>
      <c r="K41" s="16">
        <f>IF($B$5&lt;=8,"UDEN FOR OMRÅDET",IF($B$5&gt;=401,"UDEN FOR OMRÅDET",$B$5))</f>
        <v>20</v>
      </c>
    </row>
    <row r="42" spans="1:16" hidden="1" x14ac:dyDescent="0.2">
      <c r="A42" s="15" t="s">
        <v>84</v>
      </c>
      <c r="B42" s="65"/>
      <c r="C42" s="65"/>
      <c r="D42" s="8"/>
      <c r="E42" s="78"/>
      <c r="F42" s="81"/>
      <c r="G42" s="80">
        <v>3.6</v>
      </c>
      <c r="H42" s="45">
        <v>66</v>
      </c>
      <c r="I42" s="1">
        <v>1850</v>
      </c>
      <c r="J42" s="2">
        <f t="shared" si="0"/>
        <v>1200</v>
      </c>
      <c r="K42" s="16">
        <f>IF($B$5&lt;=11,"UDEN FOR OMRÅDET",IF($B$5&gt;=401,"UDEN FOR OMRÅDET",$B$5))</f>
        <v>20</v>
      </c>
    </row>
    <row r="43" spans="1:16" hidden="1" x14ac:dyDescent="0.2">
      <c r="A43" s="15" t="s">
        <v>87</v>
      </c>
      <c r="B43" s="65"/>
      <c r="C43" s="65"/>
      <c r="D43" s="8"/>
      <c r="E43" s="78"/>
      <c r="F43" s="81"/>
      <c r="G43" s="80">
        <v>4.0999999999999996</v>
      </c>
      <c r="H43" s="45">
        <v>61</v>
      </c>
      <c r="I43" s="1">
        <v>1663</v>
      </c>
      <c r="J43" s="2">
        <f t="shared" si="0"/>
        <v>1200</v>
      </c>
      <c r="K43" s="16">
        <f>IF($B$5&lt;=8,"UDEN FOR OMRÅDET",IF($B$5&gt;=401,"UDEN FOR OMRÅDET",$B$5))</f>
        <v>20</v>
      </c>
    </row>
    <row r="44" spans="1:16" hidden="1" x14ac:dyDescent="0.2">
      <c r="A44" s="15" t="s">
        <v>89</v>
      </c>
      <c r="B44" s="65"/>
      <c r="C44" s="65"/>
      <c r="D44" s="8"/>
      <c r="E44" s="78"/>
      <c r="F44" s="81"/>
      <c r="G44" s="80">
        <v>4.4000000000000004</v>
      </c>
      <c r="H44" s="45">
        <v>89</v>
      </c>
      <c r="I44" s="1">
        <v>2350</v>
      </c>
      <c r="J44" s="2">
        <f t="shared" si="0"/>
        <v>1200</v>
      </c>
      <c r="K44" s="16">
        <f>IF($B$5&lt;=11,"UDEN FOR OMRÅDET",IF($B$5&gt;=401,"UDEN FOR OMRÅDET",$B$5))</f>
        <v>20</v>
      </c>
    </row>
    <row r="45" spans="1:16" hidden="1" x14ac:dyDescent="0.2">
      <c r="A45" s="15" t="s">
        <v>91</v>
      </c>
      <c r="B45" s="65"/>
      <c r="C45" s="65"/>
      <c r="D45" s="8"/>
      <c r="E45" s="78"/>
      <c r="F45" s="81"/>
      <c r="G45" s="80">
        <v>8.8000000000000007</v>
      </c>
      <c r="H45" s="45">
        <v>217</v>
      </c>
      <c r="I45" s="1">
        <v>4800</v>
      </c>
      <c r="J45" s="2">
        <f t="shared" si="0"/>
        <v>1200</v>
      </c>
      <c r="K45" s="16">
        <f>IF($B$5&lt;=13,"UDEN FOR OMRÅDET",IF($B$5&gt;=401,"UDEN FOR OMRÅDET",$B$5))</f>
        <v>20</v>
      </c>
    </row>
    <row r="46" spans="1:16" hidden="1" x14ac:dyDescent="0.2">
      <c r="A46" s="15" t="s">
        <v>94</v>
      </c>
      <c r="B46" s="65"/>
      <c r="C46" s="65"/>
      <c r="D46" s="8"/>
      <c r="E46" s="82"/>
      <c r="F46" s="83"/>
      <c r="G46" s="84">
        <v>13.2</v>
      </c>
      <c r="H46" s="2">
        <v>175</v>
      </c>
      <c r="I46" s="2">
        <v>7450</v>
      </c>
      <c r="J46" s="2">
        <f t="shared" si="0"/>
        <v>1200</v>
      </c>
      <c r="K46" s="16">
        <f>IF($B$5&lt;=14,"UDEN FOR OMRÅDET",IF($B$5&gt;=401,"UDEN FOR OMRÅDET",$B$5))</f>
        <v>20</v>
      </c>
    </row>
    <row r="47" spans="1:16" ht="13.5" hidden="1" thickBot="1" x14ac:dyDescent="0.25">
      <c r="A47" s="17" t="s">
        <v>97</v>
      </c>
      <c r="B47" s="66"/>
      <c r="C47" s="66"/>
      <c r="D47" s="48"/>
      <c r="E47" s="85"/>
      <c r="F47" s="86"/>
      <c r="G47" s="87">
        <v>16.7</v>
      </c>
      <c r="H47" s="19">
        <v>440</v>
      </c>
      <c r="I47" s="19">
        <v>10350</v>
      </c>
      <c r="J47" s="19">
        <f t="shared" si="0"/>
        <v>1200</v>
      </c>
      <c r="K47" s="20">
        <f>IF($B$5&lt;=16,"UDEN FOR OMRÅDET",IF($B$5&gt;=401,"UDEN FOR OMRÅDET",$B$5))</f>
        <v>20</v>
      </c>
    </row>
    <row r="48" spans="1:16" x14ac:dyDescent="0.2">
      <c r="A48" s="9"/>
      <c r="B48" s="9"/>
      <c r="C48" s="9"/>
      <c r="D48" s="10"/>
      <c r="E48" s="10"/>
      <c r="F48" s="10"/>
      <c r="G48" s="10"/>
      <c r="H48" s="10"/>
      <c r="I48" s="10"/>
      <c r="J48" s="10"/>
      <c r="K48" s="10"/>
    </row>
    <row r="51" spans="5:5" x14ac:dyDescent="0.2">
      <c r="E51" s="88"/>
    </row>
  </sheetData>
  <sheetProtection sheet="1" objects="1" scenarios="1"/>
  <mergeCells count="5">
    <mergeCell ref="A36:K36"/>
    <mergeCell ref="D9:F9"/>
    <mergeCell ref="A9:A10"/>
    <mergeCell ref="B9:C9"/>
    <mergeCell ref="A1:J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showGridLines="0" zoomScale="110" zoomScaleNormal="110" workbookViewId="0">
      <selection activeCell="B7" sqref="B7"/>
    </sheetView>
  </sheetViews>
  <sheetFormatPr defaultRowHeight="12.75" x14ac:dyDescent="0.2"/>
  <cols>
    <col min="1" max="1" width="16.28515625" customWidth="1"/>
    <col min="2" max="2" width="16.7109375" customWidth="1"/>
    <col min="3" max="3" width="15.7109375" customWidth="1"/>
    <col min="4" max="4" width="16.7109375" customWidth="1"/>
    <col min="5" max="6" width="16.7109375" hidden="1" customWidth="1"/>
    <col min="7" max="7" width="20.7109375" customWidth="1"/>
    <col min="8" max="9" width="20.5703125" bestFit="1" customWidth="1"/>
    <col min="10" max="10" width="15.28515625" bestFit="1" customWidth="1"/>
    <col min="11" max="11" width="9.140625" customWidth="1"/>
    <col min="12" max="12" width="14.42578125" hidden="1" customWidth="1"/>
    <col min="13" max="13" width="16" hidden="1" customWidth="1"/>
    <col min="14" max="15" width="20.28515625" hidden="1" customWidth="1"/>
    <col min="16" max="16" width="9.140625" hidden="1" customWidth="1"/>
    <col min="17" max="17" width="18.28515625" hidden="1" customWidth="1"/>
    <col min="18" max="18" width="16.140625" hidden="1" customWidth="1"/>
    <col min="19" max="19" width="20.5703125" customWidth="1"/>
    <col min="20" max="20" width="16.140625" customWidth="1"/>
    <col min="21" max="21" width="9.140625" customWidth="1"/>
  </cols>
  <sheetData>
    <row r="1" spans="1:18" ht="21" thickTop="1" x14ac:dyDescent="0.3">
      <c r="A1" s="719" t="s">
        <v>655</v>
      </c>
      <c r="B1" s="720"/>
      <c r="C1" s="720"/>
      <c r="D1" s="720"/>
      <c r="E1" s="720"/>
      <c r="F1" s="720"/>
      <c r="G1" s="720"/>
      <c r="H1" s="720"/>
      <c r="I1" s="720"/>
      <c r="J1" s="721"/>
      <c r="K1" s="6"/>
      <c r="L1" s="719" t="s">
        <v>66</v>
      </c>
      <c r="M1" s="720"/>
      <c r="N1" s="720"/>
      <c r="O1" s="720"/>
      <c r="P1" s="720"/>
      <c r="Q1" s="720"/>
      <c r="R1" s="721"/>
    </row>
    <row r="2" spans="1:18" ht="21" thickBot="1" x14ac:dyDescent="0.35">
      <c r="A2" s="725" t="s">
        <v>656</v>
      </c>
      <c r="B2" s="726"/>
      <c r="C2" s="726"/>
      <c r="D2" s="726"/>
      <c r="E2" s="726"/>
      <c r="F2" s="726"/>
      <c r="G2" s="726"/>
      <c r="H2" s="726"/>
      <c r="I2" s="726"/>
      <c r="J2" s="727"/>
      <c r="K2" s="6"/>
      <c r="L2" s="725" t="s">
        <v>119</v>
      </c>
      <c r="M2" s="726"/>
      <c r="N2" s="726"/>
      <c r="O2" s="726"/>
      <c r="P2" s="726"/>
      <c r="Q2" s="726"/>
      <c r="R2" s="727"/>
    </row>
    <row r="3" spans="1:18" ht="13.5" thickTop="1" x14ac:dyDescent="0.2">
      <c r="A3" s="22"/>
      <c r="B3" s="23"/>
      <c r="C3" s="23"/>
      <c r="D3" s="23"/>
      <c r="E3" s="23"/>
      <c r="F3" s="23"/>
      <c r="G3" s="23"/>
      <c r="H3" s="23"/>
      <c r="I3" s="23"/>
      <c r="J3" s="24"/>
      <c r="L3" s="22"/>
      <c r="M3" s="23"/>
      <c r="N3" s="23"/>
      <c r="O3" s="23"/>
      <c r="P3" s="23"/>
      <c r="Q3" s="23"/>
      <c r="R3" s="24"/>
    </row>
    <row r="4" spans="1:18" x14ac:dyDescent="0.2">
      <c r="A4" s="26"/>
      <c r="B4" s="670" t="s">
        <v>25</v>
      </c>
      <c r="C4" s="10"/>
      <c r="D4" s="36"/>
      <c r="E4" s="10"/>
      <c r="F4" s="10"/>
      <c r="G4" s="10"/>
      <c r="H4" s="10"/>
      <c r="I4" s="10"/>
      <c r="J4" s="25"/>
      <c r="L4" s="26"/>
      <c r="M4" s="670" t="s">
        <v>10</v>
      </c>
      <c r="N4" s="10"/>
      <c r="O4" s="36"/>
      <c r="P4" s="10"/>
      <c r="Q4" s="10"/>
      <c r="R4" s="25"/>
    </row>
    <row r="5" spans="1:18" x14ac:dyDescent="0.2">
      <c r="A5" s="37" t="s">
        <v>30</v>
      </c>
      <c r="B5" s="38">
        <v>30</v>
      </c>
      <c r="C5" s="28" t="s">
        <v>666</v>
      </c>
      <c r="E5" s="10"/>
      <c r="F5" s="10"/>
      <c r="G5" s="10"/>
      <c r="H5" s="10"/>
      <c r="I5" s="10"/>
      <c r="J5" s="25"/>
      <c r="L5" s="37" t="s">
        <v>68</v>
      </c>
      <c r="M5" s="38">
        <v>20</v>
      </c>
      <c r="N5" s="28" t="s">
        <v>69</v>
      </c>
      <c r="P5" s="10"/>
      <c r="Q5" s="10"/>
      <c r="R5" s="25"/>
    </row>
    <row r="6" spans="1:18" x14ac:dyDescent="0.2">
      <c r="A6" s="37" t="s">
        <v>120</v>
      </c>
      <c r="B6" s="38">
        <v>1300</v>
      </c>
      <c r="C6" s="28" t="s">
        <v>667</v>
      </c>
      <c r="E6" s="10"/>
      <c r="F6" s="27"/>
      <c r="G6" s="10"/>
      <c r="H6" s="10"/>
      <c r="I6" s="10"/>
      <c r="J6" s="25"/>
      <c r="L6" s="37" t="s">
        <v>9</v>
      </c>
      <c r="M6" s="38">
        <v>25</v>
      </c>
      <c r="N6" s="28" t="s">
        <v>122</v>
      </c>
      <c r="O6" s="67" t="s">
        <v>123</v>
      </c>
      <c r="P6" s="10"/>
      <c r="Q6" s="10"/>
      <c r="R6" s="25"/>
    </row>
    <row r="7" spans="1:18" ht="13.5" thickBot="1" x14ac:dyDescent="0.25">
      <c r="A7" s="26"/>
      <c r="E7" s="10"/>
      <c r="F7" s="27"/>
      <c r="G7" s="10"/>
      <c r="H7" s="10"/>
      <c r="I7" s="10"/>
      <c r="J7" s="25"/>
      <c r="L7" s="26"/>
      <c r="P7" s="10"/>
      <c r="Q7" s="10"/>
      <c r="R7" s="25"/>
    </row>
    <row r="8" spans="1:18" ht="14.25" thickTop="1" thickBot="1" x14ac:dyDescent="0.25">
      <c r="A8" s="758" t="s">
        <v>657</v>
      </c>
      <c r="B8" s="759"/>
      <c r="C8" s="760" t="s">
        <v>659</v>
      </c>
      <c r="D8" s="761"/>
      <c r="E8" s="95"/>
      <c r="F8" s="129"/>
      <c r="G8" s="130" t="s">
        <v>642</v>
      </c>
      <c r="H8" s="670"/>
      <c r="I8" s="10"/>
      <c r="J8" s="25"/>
      <c r="L8" s="26"/>
      <c r="M8" s="10"/>
      <c r="N8" s="29"/>
      <c r="O8" s="10"/>
      <c r="P8" s="10"/>
      <c r="Q8" s="10"/>
      <c r="R8" s="25"/>
    </row>
    <row r="9" spans="1:18" ht="13.5" thickTop="1" x14ac:dyDescent="0.2">
      <c r="A9" s="747" t="s">
        <v>658</v>
      </c>
      <c r="B9" s="748"/>
      <c r="C9" s="744" t="s">
        <v>660</v>
      </c>
      <c r="D9" s="745"/>
      <c r="E9" s="745"/>
      <c r="F9" s="746"/>
      <c r="G9" s="131" t="s">
        <v>661</v>
      </c>
      <c r="H9" s="672"/>
      <c r="I9" s="10"/>
      <c r="J9" s="25"/>
      <c r="P9" s="10"/>
      <c r="Q9" s="10"/>
      <c r="R9" s="25"/>
    </row>
    <row r="10" spans="1:18" x14ac:dyDescent="0.2">
      <c r="A10" s="96" t="s">
        <v>24</v>
      </c>
      <c r="B10" s="675" t="s">
        <v>26</v>
      </c>
      <c r="C10" s="132" t="s">
        <v>24</v>
      </c>
      <c r="D10" s="97" t="s">
        <v>63</v>
      </c>
      <c r="E10" s="97"/>
      <c r="F10" s="133" t="s">
        <v>74</v>
      </c>
      <c r="G10" s="134" t="s">
        <v>29</v>
      </c>
      <c r="H10" s="672"/>
      <c r="I10" s="10"/>
      <c r="J10" s="25"/>
      <c r="P10" s="10"/>
      <c r="Q10" s="10"/>
      <c r="R10" s="25"/>
    </row>
    <row r="11" spans="1:18" x14ac:dyDescent="0.2">
      <c r="A11" s="96" t="s">
        <v>12</v>
      </c>
      <c r="B11" s="46" t="str">
        <f>IF(I48="UDEN FOR OMRÅDET","NOT POSSIBLE",IF(J48="UDEN FOR OMRÅDET","NOT POSSIBLE",(-0.2+(($B$5-C48)*E48)+($B$6/D48))))</f>
        <v>NOT POSSIBLE</v>
      </c>
      <c r="C11" s="135" t="s">
        <v>627</v>
      </c>
      <c r="D11" s="40" t="str">
        <f>IF(S48="UDEN FOR OMRÅDET","NOT POSSIBLE",IF(T48="UDEN FOR OMRÅDET","NOT POSSIBLE",(0.000000000005542*B6^4-0.000000011024963*B6^3+0.000008062366517*B6^2+0.001574675994768*B6+0.437597137192088)))</f>
        <v>NOT POSSIBLE</v>
      </c>
      <c r="E11" s="40"/>
      <c r="F11" s="136" t="e">
        <f>ROUND(IF(D11&lt;0.5,10,((((0.1322*D11^2+0.2648*D11+9.8241))))),1)</f>
        <v>#VALUE!</v>
      </c>
      <c r="G11" s="137" t="str">
        <f t="shared" ref="G11:G19" si="0">IF(B11="NOT POSSIBLE","NOT POSSIBLE",IF(D11="NOT POSSIBLE","NOT POSSIBLE",($B$5+F21+F11)))</f>
        <v>NOT POSSIBLE</v>
      </c>
      <c r="H11" s="76"/>
      <c r="I11" s="10"/>
      <c r="J11" s="25"/>
      <c r="P11" s="10"/>
      <c r="Q11" s="10"/>
      <c r="R11" s="25"/>
    </row>
    <row r="12" spans="1:18" x14ac:dyDescent="0.2">
      <c r="A12" s="96" t="s">
        <v>13</v>
      </c>
      <c r="B12" s="46" t="str">
        <f>IF(I49="UDEN FOR OMRÅDET","NOT POSSIBLE",IF(J49="UDEN FOR OMRÅDET","NOT POSSIBLE",(-0.3+(($B$5-C49)*E49)+($B$6/D49))))</f>
        <v>NOT POSSIBLE</v>
      </c>
      <c r="C12" s="135" t="s">
        <v>628</v>
      </c>
      <c r="D12" s="40" t="str">
        <f>IF(S49="UDEN FOR OMRÅDET","NOT POSSIBLE",IF(T49="UDEN FOR OMRÅDET","NOT POSSIBLE",(ROUND(0.000000000004935*B6^4-0.000000011338095*B6^3+0.000009011774864*B6^2+0.000523712911518*B6+0.458015907559471,1))))</f>
        <v>NOT POSSIBLE</v>
      </c>
      <c r="E12" s="40"/>
      <c r="F12" s="136" t="e">
        <f>ROUND(IF(D12&lt;1,14,((((0.2956*D12^2-0.4757*D12+14.17))))),1)</f>
        <v>#VALUE!</v>
      </c>
      <c r="G12" s="137" t="str">
        <f t="shared" si="0"/>
        <v>NOT POSSIBLE</v>
      </c>
      <c r="H12" s="76"/>
      <c r="I12" s="10"/>
      <c r="J12" s="25"/>
      <c r="P12" s="10"/>
      <c r="Q12" s="10"/>
      <c r="R12" s="25"/>
    </row>
    <row r="13" spans="1:18" x14ac:dyDescent="0.2">
      <c r="A13" s="96" t="s">
        <v>21</v>
      </c>
      <c r="B13" s="46" t="str">
        <f>IF(I50="UDEN FOR OMRÅDET","NOT POSSIBLE",IF(J50="UDEN FOR OMRÅDET","NOT POSSIBLE",(-0.2+(($B$5-C50)*E50)+($B$6/D50))))</f>
        <v>NOT POSSIBLE</v>
      </c>
      <c r="C13" s="135" t="s">
        <v>629</v>
      </c>
      <c r="D13" s="40">
        <f>IF(S50="UDEN FOR OMRÅDET","NOT POSSIBLE",IF(T50="UDEN FOR OMRÅDET","NOT POSSIBLE",IF(B6&lt;1465,(1.43958726E-12*B6^4-4.05602367413E-09*B6^3+0.0000042670132068909*B6^2-0.000061224426617176*B6+0.509465618579983),(2.758949268903E-08*B6^4-0.000165382498714462*B6^3+0.371749749406838*B6^2-371.370189738866*B6+139116.043827614))))</f>
        <v>2.8416473448456645</v>
      </c>
      <c r="E13" s="40"/>
      <c r="F13" s="136">
        <f>ROUND(IF(D13&lt;2,9,((((0.5565*D13^2-0.7865*D13+9.2446))))),1)</f>
        <v>11.5</v>
      </c>
      <c r="G13" s="137" t="str">
        <f t="shared" si="0"/>
        <v>NOT POSSIBLE</v>
      </c>
      <c r="H13" s="76"/>
      <c r="I13" s="10"/>
      <c r="J13" s="25"/>
      <c r="P13" s="10"/>
      <c r="Q13" s="10"/>
      <c r="R13" s="25"/>
    </row>
    <row r="14" spans="1:18" x14ac:dyDescent="0.2">
      <c r="A14" s="96" t="s">
        <v>22</v>
      </c>
      <c r="B14" s="46">
        <f>IF(I51="UDEN FOR OMRÅDET","NOT POSSIBLE",IF(J51="UDEN FOR OMRÅDET","NOT POSSIBLE",(-0.3+(($B$5-C51)*E51)+($B$6/D51))))</f>
        <v>7.8733546325878603</v>
      </c>
      <c r="C14" s="135" t="s">
        <v>630</v>
      </c>
      <c r="D14" s="40">
        <f>IF(S51="UDEN FOR OMRÅDET","NOT POSSIBLE",IF(T51="UDEN FOR OMRÅDET","NOT POSSIBLE",(ROUND(2.8068E-16*B6^5-1.30894961E-12*B6^4+2.26233522011E-09*B6^3-1.24113081172312E-06*B6^2+0.00135922155812669*B6+0.36672369992407,1))))</f>
        <v>2.2999999999999998</v>
      </c>
      <c r="E14" s="40"/>
      <c r="F14" s="136">
        <f>ROUND(IF(D14&lt;2,16,((((1.3*D14^2-3.3*D14+17.4))))),1)</f>
        <v>16.7</v>
      </c>
      <c r="G14" s="137">
        <f t="shared" si="0"/>
        <v>60.495918367346945</v>
      </c>
      <c r="H14" s="76"/>
      <c r="I14" s="10"/>
      <c r="J14" s="25"/>
      <c r="P14" s="10"/>
      <c r="Q14" s="10"/>
      <c r="R14" s="25"/>
    </row>
    <row r="15" spans="1:18" x14ac:dyDescent="0.2">
      <c r="A15" s="96" t="s">
        <v>16</v>
      </c>
      <c r="B15" s="46">
        <f>IF(I52="UDEN FOR OMRÅDET","NOT POSSIBLE",IF(J52="UDEN FOR OMRÅDET","NOT POSSIBLE",(-1.9+(($B$5-C52)*E52)+($B$6/D52))))</f>
        <v>17.443545878693623</v>
      </c>
      <c r="C15" s="135" t="s">
        <v>639</v>
      </c>
      <c r="D15" s="40">
        <f>IF(S52="UDEN FOR OMRÅDET","NOT POSSIBLE",IF(T52="UDEN FOR OMRÅDET","NOT POSSIBLE",(ROUND(1.6084E-16*B6^5-7.8792682E-13*B6^4+1.22444138078E-09*B6^3-5.1797692941027E-07*B6^2+0.00125732825340572*B6+0.327414644949624,1)
)))</f>
        <v>2.1</v>
      </c>
      <c r="E15" s="40"/>
      <c r="F15" s="136">
        <f>ROUND(IF(D15&lt;1,14,((((-0.2957*D15^4+2.7972*D15^3-6.6079*D15^2+5.804*D15+12.383))))),1)</f>
        <v>15.6</v>
      </c>
      <c r="G15" s="137">
        <f t="shared" si="0"/>
        <v>56.162500000000001</v>
      </c>
      <c r="H15" s="76"/>
      <c r="I15" s="10"/>
      <c r="J15" s="25"/>
      <c r="P15" s="10"/>
      <c r="Q15" s="10"/>
      <c r="R15" s="25"/>
    </row>
    <row r="16" spans="1:18" x14ac:dyDescent="0.2">
      <c r="A16" s="96" t="s">
        <v>607</v>
      </c>
      <c r="B16" s="46">
        <f>IF(I53="UDEN FOR OMRÅDET","NOT POSSIBLE",IF(J53="UDEN FOR OMRÅDET","NOT POSSIBLE",(-0.65+(($B$5-C53)*E53)+($B$6/D53))))</f>
        <v>3.3016949152542372</v>
      </c>
      <c r="C16" s="135" t="s">
        <v>639</v>
      </c>
      <c r="D16" s="40">
        <f>IF(S53="UDEN FOR OMRÅDET","NOT POSSIBLE",IF(T53="UDEN FOR OMRÅDET","NOT POSSIBLE",(ROUND(1.6084E-16*B6^5-7.8792682E-13*B6^4+1.22444138078E-09*B6^3-5.1797692941027E-07*B6^2+0.00125732825340572*B6+0.327414644949624,1)
)))</f>
        <v>2.1</v>
      </c>
      <c r="E16" s="40"/>
      <c r="F16" s="136">
        <f>ROUND(IF(D16&lt;1,14,((((-0.2957*D16^4+2.7972*D16^3-6.6079*D16^2+5.804*D16+12.383))))),1)</f>
        <v>15.6</v>
      </c>
      <c r="G16" s="137">
        <f t="shared" si="0"/>
        <v>47.83279165015194</v>
      </c>
      <c r="H16" s="98"/>
      <c r="I16" s="10"/>
      <c r="J16" s="25"/>
      <c r="P16" s="10"/>
      <c r="Q16" s="10"/>
      <c r="R16" s="25"/>
    </row>
    <row r="17" spans="1:18" x14ac:dyDescent="0.2">
      <c r="A17" s="96" t="s">
        <v>18</v>
      </c>
      <c r="B17" s="46">
        <f>IF(I54="UDEN FOR OMRÅDET","NOT POSSIBLE",IF(J54="UDEN FOR OMRÅDET","NOT POSSIBLE",(-0.87+(($B$5-C54)*E54)+($B$6/D54))))</f>
        <v>2.9624313072439632</v>
      </c>
      <c r="C17" s="135" t="s">
        <v>50</v>
      </c>
      <c r="D17" s="40">
        <f>IF(S54="UDEN FOR OMRÅDET","NOT POSSIBLE",IF(T54="UDEN FOR OMRÅDET","NOT POSSIBLE",(-0.0000000000000007646*B6^4+8.66167203E-12*B6^3-1.368304333946E-08*B6^2+0.000674608449084757*B6+0.365102207453672)))</f>
        <v>1.2358147674100786</v>
      </c>
      <c r="E17" s="40"/>
      <c r="F17" s="136">
        <f>ROUND(IF(D17&lt;1,15,((((0.2852498017*D17^2+0.4377874703*D17+14.6948850119))))),1)</f>
        <v>15.7</v>
      </c>
      <c r="G17" s="137">
        <f t="shared" si="0"/>
        <v>47.356700323497691</v>
      </c>
      <c r="H17" s="76"/>
      <c r="I17" s="10"/>
      <c r="J17" s="25"/>
      <c r="P17" s="10"/>
      <c r="Q17" s="10"/>
      <c r="R17" s="25"/>
    </row>
    <row r="18" spans="1:18" x14ac:dyDescent="0.2">
      <c r="A18" s="96" t="s">
        <v>19</v>
      </c>
      <c r="B18" s="46" t="str">
        <f>IF(I55="UDEN FOR OMRÅDET","NOT POSSIBLE",IF(J55="UDEN FOR OMRÅDET","NOT POSSIBLE",(-1.27+(($B$5-C55)*E55)+($B$6/D55))))</f>
        <v>NOT POSSIBLE</v>
      </c>
      <c r="C18" s="135" t="s">
        <v>51</v>
      </c>
      <c r="D18" s="40">
        <f>IF(S55="UDEN FOR OMRÅDET","NOT POSSIBLE",IF(T55="UDEN FOR OMRÅDET","NOT POSSIBLE",(5.9873E-16*B6^4-0.0000000000095790398*B6^3+3.922038370896E-08*B6^2+0.0005179824896256*B6+0.107933010658806)))</f>
        <v>0.82825757795262833</v>
      </c>
      <c r="E18" s="40"/>
      <c r="F18" s="136">
        <f>ROUND(IF(D18&lt;2,10,((((0.95*D18^2-2.25*D18+10.8))))),1)</f>
        <v>10</v>
      </c>
      <c r="G18" s="137" t="str">
        <f t="shared" si="0"/>
        <v>NOT POSSIBLE</v>
      </c>
      <c r="H18" s="76"/>
      <c r="I18" s="10"/>
      <c r="J18" s="25"/>
      <c r="P18" s="10"/>
      <c r="Q18" s="10"/>
      <c r="R18" s="25"/>
    </row>
    <row r="19" spans="1:18" ht="13.5" thickBot="1" x14ac:dyDescent="0.25">
      <c r="A19" s="99" t="s">
        <v>20</v>
      </c>
      <c r="B19" s="47" t="str">
        <f>IF(I56="UDEN FOR OMRÅDET","NOT POSSIBLE",IF(J56="UDEN FOR OMRÅDET","NOT POSSIBLE",(-3.27+(($B$5-C56)*E56)+($B$6/D56))))</f>
        <v>NOT POSSIBLE</v>
      </c>
      <c r="C19" s="139" t="s">
        <v>52</v>
      </c>
      <c r="D19" s="43">
        <f>IF(S56="UDEN FOR OMRÅDET","NOT POSSIBLE",IF(T56="UDEN FOR OMRÅDET","NOT POSSIBLE",(ROUND(-0.00000000000000007*B6^4+0.00000000000118072*B6^3-0.00000001872155789*B6^2+0.00052869856838356*B6+0.0496570952659024,1))))</f>
        <v>0.7</v>
      </c>
      <c r="E19" s="43"/>
      <c r="F19" s="140">
        <f>ROUND(IF(D19&lt;2,10,((((-0.1914*D19^4+1.831*D19^3-4*D19^2+3.1548*D19+9.2057))))),1)</f>
        <v>10</v>
      </c>
      <c r="G19" s="137" t="str">
        <f t="shared" si="0"/>
        <v>NOT POSSIBLE</v>
      </c>
      <c r="H19" s="76"/>
      <c r="I19" s="10"/>
      <c r="J19" s="25"/>
      <c r="P19" s="10"/>
      <c r="Q19" s="10"/>
      <c r="R19" s="25"/>
    </row>
    <row r="20" spans="1:18" ht="13.5" thickTop="1" x14ac:dyDescent="0.2">
      <c r="A20" s="26"/>
      <c r="B20" s="10"/>
      <c r="C20" s="30"/>
      <c r="D20" s="10"/>
      <c r="E20" s="10"/>
      <c r="F20" s="40" t="s">
        <v>643</v>
      </c>
      <c r="G20" s="10"/>
      <c r="H20" s="10"/>
      <c r="I20" s="10"/>
      <c r="J20" s="25"/>
      <c r="L20" s="26"/>
      <c r="M20" s="10"/>
      <c r="N20" s="30"/>
      <c r="O20" s="10"/>
      <c r="P20" s="10"/>
      <c r="Q20" s="10"/>
      <c r="R20" s="25"/>
    </row>
    <row r="21" spans="1:18" x14ac:dyDescent="0.2">
      <c r="A21" s="753"/>
      <c r="B21" s="754"/>
      <c r="C21" s="36"/>
      <c r="D21" s="36"/>
      <c r="E21" s="10"/>
      <c r="F21" s="40" t="str">
        <f>IF(B11="NOT POSSIBLE","NOT POSSIBLE",($B$6/(1000*F48))^2*100)</f>
        <v>NOT POSSIBLE</v>
      </c>
      <c r="G21" s="10"/>
      <c r="H21" s="10"/>
      <c r="I21" s="10"/>
      <c r="J21" s="25"/>
      <c r="L21" s="26"/>
      <c r="M21" s="10"/>
      <c r="N21" s="36"/>
      <c r="O21" s="36"/>
      <c r="P21" s="10"/>
      <c r="Q21" s="10"/>
      <c r="R21" s="25"/>
    </row>
    <row r="22" spans="1:18" x14ac:dyDescent="0.2">
      <c r="A22" s="100"/>
      <c r="B22" s="10"/>
      <c r="E22" s="10"/>
      <c r="F22" s="40" t="str">
        <f t="shared" ref="F22:F29" si="1">IF(B12="NOT POSSIBLE","NOT POSSIBLE",($B$6/(1000*F49))^2*100)</f>
        <v>NOT POSSIBLE</v>
      </c>
      <c r="G22" s="10"/>
      <c r="H22" s="10"/>
      <c r="I22" s="10"/>
      <c r="J22" s="25"/>
      <c r="L22" s="26"/>
      <c r="M22" s="10"/>
      <c r="N22" s="672"/>
      <c r="P22" s="10"/>
      <c r="Q22" s="10"/>
      <c r="R22" s="25"/>
    </row>
    <row r="23" spans="1:18" x14ac:dyDescent="0.2">
      <c r="A23" s="101"/>
      <c r="B23" s="10"/>
      <c r="E23" s="10"/>
      <c r="F23" s="40" t="str">
        <f t="shared" si="1"/>
        <v>NOT POSSIBLE</v>
      </c>
      <c r="G23" s="10"/>
      <c r="H23" s="10"/>
      <c r="I23" s="10"/>
      <c r="J23" s="25"/>
      <c r="L23" s="26"/>
      <c r="M23" s="10"/>
      <c r="N23" s="76"/>
      <c r="P23" s="10"/>
      <c r="Q23" s="10"/>
      <c r="R23" s="25"/>
    </row>
    <row r="24" spans="1:18" x14ac:dyDescent="0.2">
      <c r="A24" s="101"/>
      <c r="B24" s="10"/>
      <c r="E24" s="10"/>
      <c r="F24" s="40">
        <f t="shared" si="1"/>
        <v>13.795918367346941</v>
      </c>
      <c r="G24" s="10"/>
      <c r="H24" s="10"/>
      <c r="I24" s="10"/>
      <c r="J24" s="25"/>
      <c r="L24" s="26"/>
      <c r="M24" s="10"/>
      <c r="N24" s="76"/>
      <c r="P24" s="10"/>
      <c r="Q24" s="10"/>
      <c r="R24" s="25"/>
    </row>
    <row r="25" spans="1:18" x14ac:dyDescent="0.2">
      <c r="A25" s="101"/>
      <c r="B25" s="10"/>
      <c r="E25" s="10"/>
      <c r="F25" s="40">
        <f t="shared" si="1"/>
        <v>10.562500000000002</v>
      </c>
      <c r="G25" s="10"/>
      <c r="H25" s="10"/>
      <c r="I25" s="10"/>
      <c r="J25" s="25"/>
      <c r="L25" s="26"/>
      <c r="M25" s="10"/>
      <c r="N25" s="76"/>
      <c r="P25" s="10"/>
      <c r="Q25" s="10"/>
      <c r="R25" s="25"/>
    </row>
    <row r="26" spans="1:18" x14ac:dyDescent="0.2">
      <c r="A26" s="101"/>
      <c r="B26" s="10"/>
      <c r="E26" s="10"/>
      <c r="F26" s="40">
        <f t="shared" si="1"/>
        <v>2.232791650151936</v>
      </c>
      <c r="G26" s="10"/>
      <c r="H26" s="10"/>
      <c r="I26" s="10"/>
      <c r="J26" s="25"/>
      <c r="L26" s="26"/>
      <c r="M26" s="10"/>
      <c r="N26" s="76"/>
      <c r="P26" s="10"/>
      <c r="Q26" s="10"/>
      <c r="R26" s="25"/>
    </row>
    <row r="27" spans="1:18" x14ac:dyDescent="0.2">
      <c r="A27" s="101"/>
      <c r="B27" s="10"/>
      <c r="E27" s="10"/>
      <c r="F27" s="40">
        <f t="shared" si="1"/>
        <v>1.6567003234976965</v>
      </c>
      <c r="G27" s="10"/>
      <c r="H27" s="10"/>
      <c r="I27" s="10"/>
      <c r="J27" s="25"/>
      <c r="L27" s="26"/>
      <c r="M27" s="10"/>
      <c r="N27" s="76"/>
      <c r="P27" s="10"/>
      <c r="Q27" s="10"/>
      <c r="R27" s="25"/>
    </row>
    <row r="28" spans="1:18" x14ac:dyDescent="0.2">
      <c r="A28" s="101"/>
      <c r="B28" s="10"/>
      <c r="E28" s="10"/>
      <c r="F28" s="40" t="str">
        <f t="shared" si="1"/>
        <v>NOT POSSIBLE</v>
      </c>
      <c r="G28" s="10"/>
      <c r="H28" s="10"/>
      <c r="I28" s="10"/>
      <c r="J28" s="25"/>
      <c r="L28" s="26"/>
      <c r="M28" s="10"/>
      <c r="N28" s="76"/>
      <c r="P28" s="10"/>
      <c r="Q28" s="10"/>
      <c r="R28" s="25"/>
    </row>
    <row r="29" spans="1:18" x14ac:dyDescent="0.2">
      <c r="A29" s="101"/>
      <c r="B29" s="10"/>
      <c r="E29" s="10"/>
      <c r="F29" s="40" t="str">
        <f t="shared" si="1"/>
        <v>NOT POSSIBLE</v>
      </c>
      <c r="G29" s="10"/>
      <c r="H29" s="10"/>
      <c r="I29" s="10"/>
      <c r="J29" s="25"/>
      <c r="L29" s="26"/>
      <c r="M29" s="10"/>
      <c r="N29" s="76"/>
      <c r="P29" s="10"/>
      <c r="Q29" s="10"/>
      <c r="R29" s="25"/>
    </row>
    <row r="30" spans="1:18" x14ac:dyDescent="0.2">
      <c r="A30" s="101"/>
      <c r="B30" s="10"/>
      <c r="E30" s="10"/>
      <c r="F30" s="40"/>
      <c r="G30" s="10"/>
      <c r="H30" s="10"/>
      <c r="I30" s="10"/>
      <c r="J30" s="25"/>
      <c r="L30" s="26"/>
      <c r="M30" s="10"/>
      <c r="N30" s="76"/>
      <c r="P30" s="10"/>
      <c r="Q30" s="10"/>
      <c r="R30" s="25"/>
    </row>
    <row r="31" spans="1:18" ht="13.5" thickBot="1" x14ac:dyDescent="0.25">
      <c r="A31" s="32" t="s">
        <v>65</v>
      </c>
      <c r="B31" s="10"/>
      <c r="E31" s="10"/>
      <c r="F31" s="40"/>
      <c r="G31" s="10"/>
      <c r="H31" s="10"/>
      <c r="I31" s="10"/>
      <c r="J31" s="25"/>
      <c r="L31" s="26"/>
      <c r="M31" s="10"/>
      <c r="N31" s="76"/>
      <c r="P31" s="10"/>
      <c r="Q31" s="10"/>
      <c r="R31" s="25"/>
    </row>
    <row r="32" spans="1:18" ht="13.5" thickTop="1" x14ac:dyDescent="0.2">
      <c r="A32" s="676"/>
      <c r="B32" s="762" t="s">
        <v>663</v>
      </c>
      <c r="C32" s="763"/>
      <c r="D32" s="755" t="s">
        <v>664</v>
      </c>
      <c r="E32" s="755"/>
      <c r="F32" s="755"/>
      <c r="G32" s="755"/>
      <c r="H32" s="750" t="s">
        <v>665</v>
      </c>
      <c r="I32" s="751"/>
      <c r="J32" s="752"/>
      <c r="L32" s="26"/>
      <c r="M32" s="10"/>
      <c r="N32" s="76"/>
      <c r="P32" s="10"/>
      <c r="Q32" s="10"/>
      <c r="R32" s="25"/>
    </row>
    <row r="33" spans="1:20" ht="12.75" customHeight="1" x14ac:dyDescent="0.2">
      <c r="A33" s="677" t="s">
        <v>662</v>
      </c>
      <c r="B33" s="142" t="s">
        <v>130</v>
      </c>
      <c r="C33" s="143" t="s">
        <v>131</v>
      </c>
      <c r="D33" s="144" t="s">
        <v>130</v>
      </c>
      <c r="E33" s="97"/>
      <c r="F33" s="102"/>
      <c r="G33" s="145" t="s">
        <v>131</v>
      </c>
      <c r="H33" s="146" t="s">
        <v>132</v>
      </c>
      <c r="I33" s="103" t="s">
        <v>130</v>
      </c>
      <c r="J33" s="41" t="s">
        <v>131</v>
      </c>
      <c r="L33" s="26"/>
      <c r="M33" s="10"/>
      <c r="N33" s="76"/>
      <c r="P33" s="10"/>
      <c r="Q33" s="10"/>
      <c r="R33" s="25"/>
    </row>
    <row r="34" spans="1:20" x14ac:dyDescent="0.2">
      <c r="A34" s="104" t="s">
        <v>144</v>
      </c>
      <c r="B34" s="142" t="s">
        <v>31</v>
      </c>
      <c r="C34" s="147" t="s">
        <v>644</v>
      </c>
      <c r="D34" s="144" t="s">
        <v>621</v>
      </c>
      <c r="E34" s="95"/>
      <c r="F34" s="95"/>
      <c r="G34" s="148" t="s">
        <v>604</v>
      </c>
      <c r="H34" s="149" t="s">
        <v>133</v>
      </c>
      <c r="I34" s="103" t="s">
        <v>31</v>
      </c>
      <c r="J34" s="41" t="s">
        <v>604</v>
      </c>
      <c r="L34" s="26"/>
      <c r="M34" s="10"/>
      <c r="N34" s="76"/>
      <c r="P34" s="10"/>
      <c r="Q34" s="10"/>
      <c r="R34" s="25"/>
    </row>
    <row r="35" spans="1:20" x14ac:dyDescent="0.2">
      <c r="A35" s="104" t="s">
        <v>158</v>
      </c>
      <c r="B35" s="142" t="s">
        <v>33</v>
      </c>
      <c r="C35" s="147" t="s">
        <v>645</v>
      </c>
      <c r="D35" s="144" t="s">
        <v>613</v>
      </c>
      <c r="E35" s="95"/>
      <c r="F35" s="95"/>
      <c r="G35" s="148" t="s">
        <v>93</v>
      </c>
      <c r="H35" s="149" t="s">
        <v>166</v>
      </c>
      <c r="I35" s="103" t="s">
        <v>33</v>
      </c>
      <c r="J35" s="41" t="s">
        <v>646</v>
      </c>
      <c r="L35" s="26"/>
      <c r="M35" s="10"/>
      <c r="N35" s="76"/>
      <c r="P35" s="10"/>
      <c r="Q35" s="10"/>
      <c r="R35" s="25"/>
    </row>
    <row r="36" spans="1:20" x14ac:dyDescent="0.2">
      <c r="A36" s="104" t="s">
        <v>146</v>
      </c>
      <c r="B36" s="142" t="s">
        <v>33</v>
      </c>
      <c r="C36" s="147" t="s">
        <v>644</v>
      </c>
      <c r="D36" s="144" t="s">
        <v>622</v>
      </c>
      <c r="E36" s="95"/>
      <c r="F36" s="95"/>
      <c r="G36" s="148" t="s">
        <v>626</v>
      </c>
      <c r="H36" s="149" t="s">
        <v>133</v>
      </c>
      <c r="I36" s="103" t="s">
        <v>33</v>
      </c>
      <c r="J36" s="41" t="s">
        <v>626</v>
      </c>
      <c r="L36" s="26"/>
      <c r="M36" s="10"/>
      <c r="N36" s="76"/>
      <c r="P36" s="10"/>
      <c r="Q36" s="10"/>
      <c r="R36" s="25"/>
    </row>
    <row r="37" spans="1:20" x14ac:dyDescent="0.2">
      <c r="A37" s="104" t="s">
        <v>647</v>
      </c>
      <c r="B37" s="142" t="s">
        <v>34</v>
      </c>
      <c r="C37" s="147" t="s">
        <v>645</v>
      </c>
      <c r="D37" s="144" t="s">
        <v>614</v>
      </c>
      <c r="E37" s="95"/>
      <c r="F37" s="95"/>
      <c r="G37" s="148" t="s">
        <v>80</v>
      </c>
      <c r="H37" s="149" t="s">
        <v>166</v>
      </c>
      <c r="I37" s="103" t="s">
        <v>648</v>
      </c>
      <c r="J37" s="41" t="s">
        <v>646</v>
      </c>
      <c r="L37" s="26"/>
      <c r="M37" s="10"/>
      <c r="N37" s="76"/>
      <c r="P37" s="10"/>
      <c r="Q37" s="10"/>
      <c r="R37" s="25"/>
    </row>
    <row r="38" spans="1:20" x14ac:dyDescent="0.2">
      <c r="A38" s="104" t="s">
        <v>147</v>
      </c>
      <c r="B38" s="142" t="s">
        <v>641</v>
      </c>
      <c r="C38" s="147" t="s">
        <v>644</v>
      </c>
      <c r="D38" s="144" t="s">
        <v>640</v>
      </c>
      <c r="E38" s="95"/>
      <c r="F38" s="95"/>
      <c r="G38" s="148" t="s">
        <v>93</v>
      </c>
      <c r="H38" s="149" t="s">
        <v>133</v>
      </c>
      <c r="I38" s="103" t="s">
        <v>641</v>
      </c>
      <c r="J38" s="41" t="s">
        <v>93</v>
      </c>
      <c r="L38" s="26"/>
      <c r="M38" s="10"/>
      <c r="N38" s="76"/>
      <c r="P38" s="10"/>
      <c r="Q38" s="10"/>
      <c r="R38" s="25"/>
    </row>
    <row r="39" spans="1:20" x14ac:dyDescent="0.2">
      <c r="A39" s="104" t="s">
        <v>649</v>
      </c>
      <c r="B39" s="142" t="s">
        <v>608</v>
      </c>
      <c r="C39" s="147" t="s">
        <v>645</v>
      </c>
      <c r="D39" s="144" t="s">
        <v>640</v>
      </c>
      <c r="E39" s="95"/>
      <c r="F39" s="95"/>
      <c r="G39" s="148" t="s">
        <v>93</v>
      </c>
      <c r="H39" s="149" t="s">
        <v>134</v>
      </c>
      <c r="I39" s="103" t="s">
        <v>650</v>
      </c>
      <c r="J39" s="41" t="s">
        <v>646</v>
      </c>
      <c r="L39" s="26"/>
      <c r="M39" s="10"/>
      <c r="N39" s="76"/>
      <c r="P39" s="10"/>
      <c r="Q39" s="10"/>
      <c r="R39" s="25"/>
    </row>
    <row r="40" spans="1:20" x14ac:dyDescent="0.2">
      <c r="A40" s="104" t="s">
        <v>150</v>
      </c>
      <c r="B40" s="142" t="s">
        <v>37</v>
      </c>
      <c r="C40" s="147" t="s">
        <v>645</v>
      </c>
      <c r="D40" s="144" t="s">
        <v>623</v>
      </c>
      <c r="E40" s="95"/>
      <c r="F40" s="95"/>
      <c r="G40" s="148" t="s">
        <v>96</v>
      </c>
      <c r="H40" s="149" t="s">
        <v>134</v>
      </c>
      <c r="I40" s="103" t="s">
        <v>37</v>
      </c>
      <c r="J40" s="41" t="s">
        <v>646</v>
      </c>
      <c r="L40" s="26"/>
      <c r="M40" s="10"/>
      <c r="N40" s="76"/>
      <c r="P40" s="10"/>
      <c r="Q40" s="10"/>
      <c r="R40" s="25"/>
    </row>
    <row r="41" spans="1:20" x14ac:dyDescent="0.2">
      <c r="A41" s="104" t="s">
        <v>151</v>
      </c>
      <c r="B41" s="142" t="s">
        <v>38</v>
      </c>
      <c r="C41" s="147" t="s">
        <v>645</v>
      </c>
      <c r="D41" s="144" t="s">
        <v>615</v>
      </c>
      <c r="E41" s="95"/>
      <c r="F41" s="95"/>
      <c r="G41" s="148" t="s">
        <v>604</v>
      </c>
      <c r="H41" s="149" t="s">
        <v>134</v>
      </c>
      <c r="I41" s="103" t="s">
        <v>651</v>
      </c>
      <c r="J41" s="41" t="s">
        <v>646</v>
      </c>
      <c r="L41" s="26"/>
      <c r="M41" s="10"/>
      <c r="N41" s="10"/>
      <c r="O41" s="31"/>
      <c r="P41" s="10"/>
      <c r="Q41" s="10"/>
      <c r="R41" s="25"/>
    </row>
    <row r="42" spans="1:20" ht="13.5" thickBot="1" x14ac:dyDescent="0.25">
      <c r="A42" s="105" t="s">
        <v>152</v>
      </c>
      <c r="B42" s="150" t="s">
        <v>631</v>
      </c>
      <c r="C42" s="151" t="s">
        <v>645</v>
      </c>
      <c r="D42" s="152" t="s">
        <v>616</v>
      </c>
      <c r="E42" s="95"/>
      <c r="F42" s="95"/>
      <c r="G42" s="153" t="s">
        <v>604</v>
      </c>
      <c r="H42" s="154" t="s">
        <v>134</v>
      </c>
      <c r="I42" s="106" t="s">
        <v>138</v>
      </c>
      <c r="J42" s="107" t="s">
        <v>646</v>
      </c>
      <c r="L42" s="32" t="s">
        <v>28</v>
      </c>
      <c r="M42" s="33"/>
      <c r="N42" s="33"/>
      <c r="O42" s="34"/>
      <c r="P42" s="34"/>
      <c r="Q42" s="34"/>
      <c r="R42" s="35"/>
    </row>
    <row r="43" spans="1:20" ht="10.5" customHeight="1" thickTop="1" x14ac:dyDescent="0.2">
      <c r="B43" s="77"/>
      <c r="C43" s="77"/>
      <c r="M43" s="77"/>
      <c r="N43" s="77"/>
    </row>
    <row r="44" spans="1:20" x14ac:dyDescent="0.2">
      <c r="B44" s="77"/>
      <c r="C44" s="77"/>
      <c r="M44" s="77"/>
      <c r="N44" s="77"/>
    </row>
    <row r="45" spans="1:20" s="4" customFormat="1" ht="31.5" hidden="1" customHeight="1" x14ac:dyDescent="0.4">
      <c r="A45" s="712" t="s">
        <v>11</v>
      </c>
      <c r="B45" s="713"/>
      <c r="C45" s="713"/>
      <c r="D45" s="713"/>
      <c r="E45" s="713"/>
      <c r="F45" s="713"/>
      <c r="G45" s="713"/>
      <c r="H45" s="713"/>
      <c r="I45" s="713"/>
      <c r="J45" s="713"/>
      <c r="K45" s="7"/>
      <c r="L45" s="712" t="s">
        <v>11</v>
      </c>
      <c r="M45" s="713"/>
      <c r="N45" s="713"/>
      <c r="O45" s="713"/>
      <c r="P45" s="713"/>
      <c r="Q45" s="713"/>
      <c r="R45" s="713"/>
    </row>
    <row r="46" spans="1:20" ht="13.5" hidden="1" thickBot="1" x14ac:dyDescent="0.25"/>
    <row r="47" spans="1:20" ht="13.5" hidden="1" thickTop="1" x14ac:dyDescent="0.2">
      <c r="A47" s="669" t="s">
        <v>0</v>
      </c>
      <c r="B47" s="64"/>
      <c r="C47" s="12" t="s">
        <v>652</v>
      </c>
      <c r="D47" s="12" t="s">
        <v>653</v>
      </c>
      <c r="E47" s="12" t="s">
        <v>654</v>
      </c>
      <c r="F47" s="12" t="s">
        <v>8</v>
      </c>
      <c r="G47" s="12" t="s">
        <v>4</v>
      </c>
      <c r="H47" s="12" t="s">
        <v>5</v>
      </c>
      <c r="I47" s="667" t="s">
        <v>6</v>
      </c>
      <c r="J47" s="668" t="s">
        <v>7</v>
      </c>
      <c r="L47" s="669" t="s">
        <v>0</v>
      </c>
      <c r="M47" s="12" t="s">
        <v>1</v>
      </c>
      <c r="N47" s="12" t="s">
        <v>2</v>
      </c>
      <c r="O47" s="12" t="s">
        <v>3</v>
      </c>
      <c r="P47" s="12" t="s">
        <v>8</v>
      </c>
      <c r="Q47" s="12" t="s">
        <v>4</v>
      </c>
      <c r="R47" s="12" t="s">
        <v>5</v>
      </c>
      <c r="S47" s="667" t="s">
        <v>6</v>
      </c>
      <c r="T47" s="668" t="s">
        <v>7</v>
      </c>
    </row>
    <row r="48" spans="1:20" hidden="1" x14ac:dyDescent="0.2">
      <c r="A48" s="15" t="s">
        <v>12</v>
      </c>
      <c r="B48" s="65"/>
      <c r="C48" s="81">
        <v>5</v>
      </c>
      <c r="D48" s="52">
        <v>272</v>
      </c>
      <c r="E48" s="539">
        <v>0.68</v>
      </c>
      <c r="F48" s="49">
        <v>2.9</v>
      </c>
      <c r="G48" s="656">
        <v>50</v>
      </c>
      <c r="H48" s="1">
        <v>600</v>
      </c>
      <c r="I48" s="671" t="str">
        <f>IF($B$6&lt;=G48-1,"UDEN FOR OMRÅDET",IF($B$6&gt;=H48+1,"UDEN FOR OMRÅDET",$B$6))</f>
        <v>UDEN FOR OMRÅDET</v>
      </c>
      <c r="J48" s="16">
        <f>IF($B$5&lt;5,"UDEN FOR OMRÅDET",IF($B$5&gt;30,"UDEN FOR OMRÅDET",$B$5))</f>
        <v>30</v>
      </c>
      <c r="L48" s="678" t="s">
        <v>103</v>
      </c>
      <c r="M48" s="642"/>
      <c r="N48" s="642"/>
      <c r="O48" s="643"/>
      <c r="P48" s="645">
        <v>2.6</v>
      </c>
      <c r="Q48" s="45">
        <v>40</v>
      </c>
      <c r="R48" s="679">
        <v>900</v>
      </c>
      <c r="S48" s="648" t="str">
        <f t="shared" ref="S48:S56" si="2">IF($B$6&lt;=Q48-1,"UDEN FOR OMRÅDET",IF($B$6&gt;=R48+1,"UDEN FOR OMRÅDET",$B$6))</f>
        <v>UDEN FOR OMRÅDET</v>
      </c>
      <c r="T48" s="16">
        <f>IF($B$5&lt;5,"UDEN FOR OMRÅDET",IF($B$5&gt;30,"UDEN FOR OMRÅDET",$B$5))</f>
        <v>30</v>
      </c>
    </row>
    <row r="49" spans="1:20" hidden="1" x14ac:dyDescent="0.2">
      <c r="A49" s="15" t="s">
        <v>13</v>
      </c>
      <c r="B49" s="65"/>
      <c r="C49" s="81">
        <v>20</v>
      </c>
      <c r="D49" s="52">
        <v>312.5</v>
      </c>
      <c r="E49" s="540">
        <v>0.40150000000000002</v>
      </c>
      <c r="F49" s="49">
        <v>2.9</v>
      </c>
      <c r="G49" s="656">
        <v>100</v>
      </c>
      <c r="H49" s="1">
        <v>1000</v>
      </c>
      <c r="I49" s="671" t="str">
        <f>IF($B$6&lt;=G49-1,"UDEN FOR OMRÅDET",IF($B$6&gt;=H49+1,"UDEN FOR OMRÅDET",$B$6))</f>
        <v>UDEN FOR OMRÅDET</v>
      </c>
      <c r="J49" s="16">
        <f>IF($B$5&lt;20,"UDEN FOR OMRÅDET",IF($B$5&gt;60,"UDEN FOR OMRÅDET",$B$5))</f>
        <v>30</v>
      </c>
      <c r="L49" s="678" t="s">
        <v>105</v>
      </c>
      <c r="M49" s="642"/>
      <c r="N49" s="642"/>
      <c r="O49" s="643"/>
      <c r="P49" s="645">
        <v>2.6</v>
      </c>
      <c r="Q49" s="45">
        <v>60</v>
      </c>
      <c r="R49" s="679">
        <v>1080</v>
      </c>
      <c r="S49" s="648" t="str">
        <f t="shared" si="2"/>
        <v>UDEN FOR OMRÅDET</v>
      </c>
      <c r="T49" s="16">
        <f>IF($B$5&lt;20,"UDEN FOR OMRÅDET",IF($B$5&gt;60,"UDEN FOR OMRÅDET",$B$5))</f>
        <v>30</v>
      </c>
    </row>
    <row r="50" spans="1:20" hidden="1" x14ac:dyDescent="0.2">
      <c r="A50" s="15" t="s">
        <v>14</v>
      </c>
      <c r="B50" s="65"/>
      <c r="C50" s="81">
        <v>5</v>
      </c>
      <c r="D50" s="52">
        <v>272</v>
      </c>
      <c r="E50" s="539">
        <v>0.68</v>
      </c>
      <c r="F50" s="49">
        <v>3.5</v>
      </c>
      <c r="G50" s="656">
        <v>100</v>
      </c>
      <c r="H50" s="1">
        <v>1000</v>
      </c>
      <c r="I50" s="671" t="str">
        <f t="shared" ref="I50:I56" si="3">IF($B$6&lt;=G50-1,"UDEN FOR OMRÅDET",IF($B$6&gt;=H50+1,"UDEN FOR OMRÅDET",$B$6))</f>
        <v>UDEN FOR OMRÅDET</v>
      </c>
      <c r="J50" s="16">
        <f>IF($B$5&lt;5,"UDEN FOR OMRÅDET",IF($B$5&gt;30,"UDEN FOR OMRÅDET",$B$5))</f>
        <v>30</v>
      </c>
      <c r="L50" s="678" t="s">
        <v>107</v>
      </c>
      <c r="M50" s="642"/>
      <c r="N50" s="642"/>
      <c r="O50" s="643"/>
      <c r="P50" s="645">
        <v>4</v>
      </c>
      <c r="Q50" s="45">
        <v>86</v>
      </c>
      <c r="R50" s="679">
        <v>1550</v>
      </c>
      <c r="S50" s="648">
        <f t="shared" si="2"/>
        <v>1300</v>
      </c>
      <c r="T50" s="16">
        <f t="shared" ref="T50:T52" si="4">IF($B$5&lt;5,"UDEN FOR OMRÅDET",IF($B$5&gt;30,"UDEN FOR OMRÅDET",$B$5))</f>
        <v>30</v>
      </c>
    </row>
    <row r="51" spans="1:20" hidden="1" x14ac:dyDescent="0.2">
      <c r="A51" s="15" t="s">
        <v>15</v>
      </c>
      <c r="B51" s="65"/>
      <c r="C51" s="81">
        <v>20</v>
      </c>
      <c r="D51" s="52">
        <v>313</v>
      </c>
      <c r="E51" s="540">
        <v>0.40200000000000002</v>
      </c>
      <c r="F51" s="49">
        <v>3.5</v>
      </c>
      <c r="G51" s="656">
        <v>150</v>
      </c>
      <c r="H51" s="1">
        <v>2000</v>
      </c>
      <c r="I51" s="671">
        <f t="shared" si="3"/>
        <v>1300</v>
      </c>
      <c r="J51" s="16">
        <f>IF($B$5&lt;20,"UDEN FOR OMRÅDET",IF($B$5&gt;60,"UDEN FOR OMRÅDET",$B$5))</f>
        <v>30</v>
      </c>
      <c r="L51" s="678" t="s">
        <v>109</v>
      </c>
      <c r="M51" s="642"/>
      <c r="N51" s="642"/>
      <c r="O51" s="643"/>
      <c r="P51" s="645">
        <v>4</v>
      </c>
      <c r="Q51" s="45">
        <v>102</v>
      </c>
      <c r="R51" s="679">
        <v>1930</v>
      </c>
      <c r="S51" s="648">
        <f t="shared" si="2"/>
        <v>1300</v>
      </c>
      <c r="T51" s="16">
        <f>IF($B$5&lt;20,"UDEN FOR OMRÅDET",IF($B$5&gt;60,"UDEN FOR OMRÅDET",$B$5))</f>
        <v>30</v>
      </c>
    </row>
    <row r="52" spans="1:20" hidden="1" x14ac:dyDescent="0.2">
      <c r="A52" s="15" t="s">
        <v>16</v>
      </c>
      <c r="B52" s="65"/>
      <c r="C52" s="81">
        <v>5</v>
      </c>
      <c r="D52" s="52">
        <v>321.5</v>
      </c>
      <c r="E52" s="539">
        <v>0.61199999999999999</v>
      </c>
      <c r="F52" s="49">
        <v>4</v>
      </c>
      <c r="G52" s="656">
        <v>600</v>
      </c>
      <c r="H52" s="1">
        <v>2100</v>
      </c>
      <c r="I52" s="671">
        <f t="shared" si="3"/>
        <v>1300</v>
      </c>
      <c r="J52" s="16">
        <f>IF($B$5&lt;5,"UDEN FOR OMRÅDET",IF($B$5&gt;30,"UDEN FOR OMRÅDET",$B$5))</f>
        <v>30</v>
      </c>
      <c r="L52" s="678" t="s">
        <v>114</v>
      </c>
      <c r="M52" s="642"/>
      <c r="N52" s="642"/>
      <c r="O52" s="643"/>
      <c r="P52" s="645">
        <v>4.2</v>
      </c>
      <c r="Q52" s="45">
        <v>137</v>
      </c>
      <c r="R52" s="679">
        <v>2400</v>
      </c>
      <c r="S52" s="648">
        <f t="shared" si="2"/>
        <v>1300</v>
      </c>
      <c r="T52" s="16">
        <f t="shared" si="4"/>
        <v>30</v>
      </c>
    </row>
    <row r="53" spans="1:20" hidden="1" x14ac:dyDescent="0.2">
      <c r="A53" s="15" t="s">
        <v>607</v>
      </c>
      <c r="B53" s="65"/>
      <c r="C53" s="81">
        <v>20</v>
      </c>
      <c r="D53" s="52">
        <v>1180</v>
      </c>
      <c r="E53" s="540">
        <v>0.28499999999999998</v>
      </c>
      <c r="F53" s="49">
        <v>8.6999999999999993</v>
      </c>
      <c r="G53" s="656">
        <v>750</v>
      </c>
      <c r="H53" s="1">
        <v>4200</v>
      </c>
      <c r="I53" s="671">
        <f t="shared" si="3"/>
        <v>1300</v>
      </c>
      <c r="J53" s="16">
        <f>IF($B$5&lt;20,"UDEN FOR OMRÅDET",IF($B$5&gt;80,"UDEN FOR OMRÅDET",$B$5))</f>
        <v>30</v>
      </c>
      <c r="L53" s="678" t="s">
        <v>114</v>
      </c>
      <c r="M53" s="642"/>
      <c r="N53" s="642"/>
      <c r="O53" s="643"/>
      <c r="P53" s="645">
        <v>4.2</v>
      </c>
      <c r="Q53" s="45">
        <v>137</v>
      </c>
      <c r="R53" s="679">
        <v>2400</v>
      </c>
      <c r="S53" s="648">
        <f t="shared" si="2"/>
        <v>1300</v>
      </c>
      <c r="T53" s="16">
        <f>IF($B$5&lt;20,"UDEN FOR OMRÅDET",IF($B$5&gt;80,"UDEN FOR OMRÅDET",$B$5))</f>
        <v>30</v>
      </c>
    </row>
    <row r="54" spans="1:20" hidden="1" x14ac:dyDescent="0.2">
      <c r="A54" s="15" t="s">
        <v>18</v>
      </c>
      <c r="B54" s="65"/>
      <c r="C54" s="81">
        <v>20</v>
      </c>
      <c r="D54" s="52">
        <v>1201</v>
      </c>
      <c r="E54" s="539">
        <v>0.27500000000000002</v>
      </c>
      <c r="F54" s="49">
        <v>10.1</v>
      </c>
      <c r="G54" s="656">
        <v>1000</v>
      </c>
      <c r="H54" s="1">
        <v>5000</v>
      </c>
      <c r="I54" s="671">
        <f t="shared" si="3"/>
        <v>1300</v>
      </c>
      <c r="J54" s="16">
        <f>IF($B$5&lt;20,"UDEN FOR OMRÅDET",IF($B$5&gt;80,"UDEN FOR OMRÅDET",$B$5))</f>
        <v>30</v>
      </c>
      <c r="L54" s="678" t="s">
        <v>91</v>
      </c>
      <c r="M54" s="642"/>
      <c r="N54" s="642"/>
      <c r="O54" s="643"/>
      <c r="P54" s="645">
        <v>10.9</v>
      </c>
      <c r="Q54" s="45">
        <v>200</v>
      </c>
      <c r="R54" s="679">
        <v>5000</v>
      </c>
      <c r="S54" s="648">
        <f t="shared" si="2"/>
        <v>1300</v>
      </c>
      <c r="T54" s="16">
        <f>IF($B$5&lt;20,"UDEN FOR OMRÅDET",IF($B$5&gt;80,"UDEN FOR OMRÅDET",$B$5))</f>
        <v>30</v>
      </c>
    </row>
    <row r="55" spans="1:20" hidden="1" x14ac:dyDescent="0.2">
      <c r="A55" s="556" t="s">
        <v>19</v>
      </c>
      <c r="B55" s="65"/>
      <c r="C55" s="81">
        <v>20</v>
      </c>
      <c r="D55" s="52">
        <v>2410.6999999999998</v>
      </c>
      <c r="E55" s="539">
        <v>0.29880000000000001</v>
      </c>
      <c r="F55" s="49">
        <v>15.8</v>
      </c>
      <c r="G55" s="656">
        <v>3000</v>
      </c>
      <c r="H55" s="1">
        <v>8000</v>
      </c>
      <c r="I55" s="671" t="str">
        <f t="shared" si="3"/>
        <v>UDEN FOR OMRÅDET</v>
      </c>
      <c r="J55" s="16">
        <f>IF($B$5&lt;20,"UDEN FOR OMRÅDET",IF($B$5&gt;80,"UDEN FOR OMRÅDET",$B$5))</f>
        <v>30</v>
      </c>
      <c r="L55" s="678" t="s">
        <v>94</v>
      </c>
      <c r="M55" s="642"/>
      <c r="N55" s="642"/>
      <c r="O55" s="643"/>
      <c r="P55" s="680">
        <v>18</v>
      </c>
      <c r="Q55" s="648">
        <v>719</v>
      </c>
      <c r="R55" s="648">
        <v>7400</v>
      </c>
      <c r="S55" s="648">
        <f t="shared" si="2"/>
        <v>1300</v>
      </c>
      <c r="T55" s="16">
        <f>IF($B$5&lt;20,"UDEN FOR OMRÅDET",IF($B$5&gt;80,"UDEN FOR OMRÅDET",$B$5))</f>
        <v>30</v>
      </c>
    </row>
    <row r="56" spans="1:20" ht="13.5" hidden="1" thickBot="1" x14ac:dyDescent="0.25">
      <c r="A56" s="556" t="s">
        <v>20</v>
      </c>
      <c r="B56" s="65"/>
      <c r="C56" s="81">
        <v>20</v>
      </c>
      <c r="D56" s="52">
        <v>1547</v>
      </c>
      <c r="E56" s="539">
        <v>0.23</v>
      </c>
      <c r="F56" s="49">
        <v>16.2</v>
      </c>
      <c r="G56" s="656">
        <v>5000</v>
      </c>
      <c r="H56" s="1">
        <v>11500</v>
      </c>
      <c r="I56" s="671" t="str">
        <f t="shared" si="3"/>
        <v>UDEN FOR OMRÅDET</v>
      </c>
      <c r="J56" s="16">
        <f>IF($B$5&lt;20,"UDEN FOR OMRÅDET",IF($B$5&gt;80,"UDEN FOR OMRÅDET",$B$5))</f>
        <v>30</v>
      </c>
      <c r="L56" s="681" t="s">
        <v>97</v>
      </c>
      <c r="M56" s="682"/>
      <c r="N56" s="682"/>
      <c r="O56" s="683"/>
      <c r="P56" s="684">
        <v>20.3</v>
      </c>
      <c r="Q56" s="685">
        <v>900</v>
      </c>
      <c r="R56" s="685">
        <v>10350</v>
      </c>
      <c r="S56" s="685">
        <f t="shared" si="2"/>
        <v>1300</v>
      </c>
      <c r="T56" s="16">
        <f>IF($B$5&lt;20,"UDEN FOR OMRÅDET",IF($B$5&gt;80,"UDEN FOR OMRÅDET",$B$5))</f>
        <v>30</v>
      </c>
    </row>
    <row r="57" spans="1:20" ht="13.5" hidden="1" thickTop="1" x14ac:dyDescent="0.2">
      <c r="A57" s="9"/>
      <c r="B57" s="10"/>
      <c r="C57" s="10"/>
      <c r="D57" s="10"/>
      <c r="E57" s="10"/>
      <c r="F57" s="10"/>
      <c r="G57" s="10"/>
      <c r="H57" s="10"/>
      <c r="I57" s="10"/>
    </row>
    <row r="62" spans="1:20" x14ac:dyDescent="0.2">
      <c r="I62" s="128"/>
    </row>
  </sheetData>
  <sheetProtection sheet="1" objects="1" scenarios="1"/>
  <mergeCells count="14">
    <mergeCell ref="A45:J45"/>
    <mergeCell ref="L45:R45"/>
    <mergeCell ref="A9:B9"/>
    <mergeCell ref="C9:F9"/>
    <mergeCell ref="A21:B21"/>
    <mergeCell ref="B32:C32"/>
    <mergeCell ref="D32:G32"/>
    <mergeCell ref="H32:J32"/>
    <mergeCell ref="A1:J1"/>
    <mergeCell ref="L1:R1"/>
    <mergeCell ref="A2:J2"/>
    <mergeCell ref="L2:R2"/>
    <mergeCell ref="A8:B8"/>
    <mergeCell ref="C8:D8"/>
  </mergeCells>
  <pageMargins left="0.47244094488188981" right="0.31496062992125984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1"/>
  <sheetViews>
    <sheetView showGridLines="0" zoomScaleNormal="100" workbookViewId="0">
      <selection activeCell="AU99" sqref="AU99"/>
    </sheetView>
  </sheetViews>
  <sheetFormatPr defaultColWidth="11.140625" defaultRowHeight="12.75" x14ac:dyDescent="0.2"/>
  <cols>
    <col min="1" max="1" width="4.7109375" customWidth="1"/>
    <col min="2" max="2" width="13.85546875" customWidth="1"/>
    <col min="3" max="3" width="9.7109375" customWidth="1"/>
    <col min="4" max="5" width="9.42578125" customWidth="1"/>
    <col min="6" max="7" width="10.7109375" customWidth="1"/>
    <col min="8" max="8" width="8.7109375" customWidth="1"/>
    <col min="9" max="13" width="10.7109375" customWidth="1"/>
    <col min="14" max="14" width="8.7109375" customWidth="1"/>
    <col min="15" max="15" width="8.7109375" hidden="1" customWidth="1"/>
    <col min="16" max="43" width="0" hidden="1" customWidth="1"/>
  </cols>
  <sheetData>
    <row r="1" spans="1:30" ht="21" thickTop="1" x14ac:dyDescent="0.3">
      <c r="A1" s="719" t="s">
        <v>404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521"/>
      <c r="N1" s="529"/>
      <c r="O1" s="299"/>
      <c r="P1" s="298"/>
      <c r="Q1" s="298"/>
      <c r="R1" s="298"/>
      <c r="S1" s="298"/>
      <c r="T1" s="297"/>
    </row>
    <row r="2" spans="1:30" ht="20.25" x14ac:dyDescent="0.3">
      <c r="A2" s="764" t="s">
        <v>539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6"/>
      <c r="O2" s="296"/>
      <c r="P2" s="10"/>
      <c r="Q2" s="10"/>
      <c r="R2" s="10"/>
      <c r="S2" s="10"/>
      <c r="T2" s="163"/>
    </row>
    <row r="3" spans="1:30" ht="18.75" thickBot="1" x14ac:dyDescent="0.3">
      <c r="A3" s="295"/>
      <c r="B3" s="10"/>
      <c r="C3" s="10"/>
      <c r="D3" s="10"/>
      <c r="E3" s="10"/>
      <c r="F3" s="10"/>
      <c r="G3" s="10"/>
      <c r="H3" s="98"/>
      <c r="I3" s="98"/>
      <c r="J3" s="98"/>
      <c r="K3" s="98"/>
      <c r="L3" s="98"/>
      <c r="M3" s="98"/>
      <c r="N3" s="272"/>
      <c r="O3" s="98"/>
      <c r="P3" s="10"/>
      <c r="Q3" s="162"/>
      <c r="R3" s="293"/>
      <c r="S3" s="293"/>
      <c r="T3" s="294"/>
      <c r="U3" s="10"/>
      <c r="V3" s="162"/>
      <c r="W3" s="293"/>
      <c r="X3" s="293"/>
      <c r="Y3" s="157"/>
      <c r="Z3" s="10"/>
    </row>
    <row r="4" spans="1:30" ht="13.5" thickBot="1" x14ac:dyDescent="0.25">
      <c r="A4" s="26"/>
      <c r="B4" s="27"/>
      <c r="C4" s="10"/>
      <c r="D4" s="21" t="s">
        <v>25</v>
      </c>
      <c r="E4" s="10"/>
      <c r="F4" s="292" t="s">
        <v>557</v>
      </c>
      <c r="G4" s="291"/>
      <c r="H4" s="291"/>
      <c r="I4" s="290"/>
      <c r="J4" s="289" t="s">
        <v>394</v>
      </c>
      <c r="K4" s="289" t="s">
        <v>386</v>
      </c>
      <c r="L4" s="289" t="s">
        <v>541</v>
      </c>
      <c r="M4" s="289" t="s">
        <v>541</v>
      </c>
      <c r="N4" s="288" t="s">
        <v>542</v>
      </c>
      <c r="O4" s="98"/>
      <c r="P4" s="10"/>
      <c r="Q4" s="162"/>
      <c r="R4" s="162"/>
      <c r="S4" s="162"/>
      <c r="T4" s="241"/>
      <c r="U4" s="161"/>
      <c r="V4" s="162"/>
      <c r="W4" s="162"/>
      <c r="X4" s="162"/>
      <c r="Y4" s="161"/>
      <c r="Z4" s="161"/>
    </row>
    <row r="5" spans="1:30" ht="13.5" thickBot="1" x14ac:dyDescent="0.25">
      <c r="A5" s="26"/>
      <c r="B5" s="186" t="s">
        <v>120</v>
      </c>
      <c r="C5" s="98"/>
      <c r="D5" s="522">
        <v>1000</v>
      </c>
      <c r="E5" s="21" t="s">
        <v>71</v>
      </c>
      <c r="F5" s="287" t="s">
        <v>540</v>
      </c>
      <c r="G5" s="286"/>
      <c r="H5" s="286"/>
      <c r="I5" s="285"/>
      <c r="J5" s="284" t="s">
        <v>393</v>
      </c>
      <c r="K5" s="284" t="s">
        <v>376</v>
      </c>
      <c r="L5" s="284" t="s">
        <v>339</v>
      </c>
      <c r="M5" s="284" t="s">
        <v>338</v>
      </c>
      <c r="N5" s="283"/>
      <c r="O5" s="98"/>
      <c r="P5" s="98"/>
      <c r="Q5" s="161"/>
      <c r="R5" s="161"/>
      <c r="S5" s="161"/>
      <c r="T5" s="241"/>
      <c r="U5" s="161"/>
      <c r="V5" s="161"/>
      <c r="W5" s="161"/>
      <c r="X5" s="161"/>
      <c r="Y5" s="161"/>
      <c r="Z5" s="161"/>
    </row>
    <row r="6" spans="1:30" ht="13.5" thickBot="1" x14ac:dyDescent="0.25">
      <c r="A6" s="26"/>
      <c r="B6" s="281"/>
      <c r="C6" s="21"/>
      <c r="D6" s="21"/>
      <c r="E6" s="10"/>
      <c r="F6" s="27"/>
      <c r="G6" s="27"/>
      <c r="H6" s="186"/>
      <c r="I6" s="186"/>
      <c r="J6" s="75"/>
      <c r="K6" s="75"/>
      <c r="L6" s="75"/>
      <c r="M6" s="75"/>
      <c r="N6" s="259"/>
      <c r="O6" s="98"/>
      <c r="P6" s="98"/>
      <c r="Q6" s="161"/>
      <c r="R6" s="161"/>
      <c r="S6" s="161"/>
      <c r="T6" s="241"/>
      <c r="U6" s="161"/>
      <c r="V6" s="161"/>
      <c r="W6" s="161"/>
      <c r="X6" s="161"/>
      <c r="Y6" s="161"/>
      <c r="Z6" s="161"/>
      <c r="AD6" s="281"/>
    </row>
    <row r="7" spans="1:30" ht="13.5" thickBot="1" x14ac:dyDescent="0.25">
      <c r="A7" s="26"/>
      <c r="B7" s="282" t="s">
        <v>546</v>
      </c>
      <c r="C7" s="185" t="s">
        <v>403</v>
      </c>
      <c r="D7" s="184" t="s">
        <v>402</v>
      </c>
      <c r="E7" s="10"/>
      <c r="F7" s="276" t="s">
        <v>543</v>
      </c>
      <c r="G7" s="275"/>
      <c r="H7" s="275"/>
      <c r="I7" s="275"/>
      <c r="J7" s="274">
        <f>VLOOKUP($D$13,$B$33:$N$40,7)</f>
        <v>1020</v>
      </c>
      <c r="K7" s="274">
        <f>VLOOKUP($D$13,$B$33:$N$40,8)</f>
        <v>12</v>
      </c>
      <c r="L7" s="274" t="str">
        <f>VLOOKUP($D$13,$B$33:$N$40,9)</f>
        <v>50-33089</v>
      </c>
      <c r="M7" s="274" t="str">
        <f>VLOOKUP($D$13,$B$33:$N$40,10)</f>
        <v>49-33089</v>
      </c>
      <c r="N7" s="545">
        <f>J7/D5-1</f>
        <v>2.0000000000000018E-2</v>
      </c>
      <c r="O7" s="98"/>
      <c r="P7" s="98"/>
      <c r="Q7" s="161"/>
      <c r="R7" s="161"/>
      <c r="S7" s="161"/>
      <c r="T7" s="241"/>
      <c r="U7" s="161"/>
      <c r="V7" s="161"/>
      <c r="W7" s="161"/>
      <c r="X7" s="161"/>
      <c r="Y7" s="161"/>
      <c r="Z7" s="161"/>
      <c r="AD7" s="281"/>
    </row>
    <row r="8" spans="1:30" ht="13.5" thickBot="1" x14ac:dyDescent="0.25">
      <c r="A8" s="26"/>
      <c r="B8" s="280" t="s">
        <v>401</v>
      </c>
      <c r="C8" s="279" t="s">
        <v>400</v>
      </c>
      <c r="D8" s="238" t="s">
        <v>399</v>
      </c>
      <c r="E8" s="10"/>
      <c r="F8" s="27"/>
      <c r="G8" s="27"/>
      <c r="H8" s="186"/>
      <c r="I8" s="186"/>
      <c r="J8" s="75"/>
      <c r="K8" s="75"/>
      <c r="L8" s="75"/>
      <c r="M8" s="75"/>
      <c r="N8" s="259"/>
      <c r="O8" s="98"/>
      <c r="P8" s="98"/>
      <c r="Q8" s="161"/>
      <c r="R8" s="161"/>
      <c r="S8" s="161"/>
      <c r="T8" s="241"/>
      <c r="U8" s="161"/>
      <c r="V8" s="161"/>
      <c r="W8" s="161"/>
      <c r="X8" s="161"/>
      <c r="Y8" s="161"/>
      <c r="Z8" s="161"/>
    </row>
    <row r="9" spans="1:30" ht="13.5" thickBot="1" x14ac:dyDescent="0.25">
      <c r="A9" s="26"/>
      <c r="B9" s="278" t="s">
        <v>398</v>
      </c>
      <c r="C9" s="277" t="s">
        <v>397</v>
      </c>
      <c r="D9" s="214" t="s">
        <v>396</v>
      </c>
      <c r="E9" s="10"/>
      <c r="F9" s="276" t="s">
        <v>544</v>
      </c>
      <c r="G9" s="275"/>
      <c r="H9" s="275"/>
      <c r="I9" s="275"/>
      <c r="J9" s="274">
        <f>VLOOKUP($D$13,$B$33:$N$40,3)</f>
        <v>861</v>
      </c>
      <c r="K9" s="274">
        <f>VLOOKUP($D$13,$B$33:$N$40,4)</f>
        <v>12</v>
      </c>
      <c r="L9" s="274" t="str">
        <f>VLOOKUP($D$13,$B$33:$N$40,5)</f>
        <v>50-33082</v>
      </c>
      <c r="M9" s="274" t="str">
        <f>VLOOKUP($D$13,$B$33:$N$40,6)</f>
        <v>49-33082</v>
      </c>
      <c r="N9" s="545">
        <f>J9/D5-1</f>
        <v>-0.13900000000000001</v>
      </c>
      <c r="O9" s="98"/>
      <c r="P9" s="98"/>
      <c r="Q9" s="98"/>
      <c r="R9" s="75"/>
      <c r="S9" s="75"/>
      <c r="T9" s="187"/>
      <c r="U9" s="75"/>
      <c r="V9" s="75"/>
      <c r="W9" s="98"/>
      <c r="X9" s="273"/>
      <c r="Y9" s="98"/>
      <c r="Z9" s="161"/>
    </row>
    <row r="10" spans="1:30" ht="13.5" thickBot="1" x14ac:dyDescent="0.25">
      <c r="A10" s="26"/>
      <c r="B10" s="186"/>
      <c r="C10" s="98"/>
      <c r="D10" s="165"/>
      <c r="E10" s="186"/>
      <c r="F10" s="186"/>
      <c r="G10" s="186"/>
      <c r="H10" s="186"/>
      <c r="I10" s="186"/>
      <c r="J10" s="186"/>
      <c r="K10" s="186"/>
      <c r="L10" s="186"/>
      <c r="M10" s="186"/>
      <c r="N10" s="272"/>
      <c r="O10" s="98"/>
      <c r="P10" s="186"/>
      <c r="Q10" s="98"/>
      <c r="R10" s="165"/>
      <c r="S10" s="186"/>
      <c r="T10" s="167"/>
      <c r="U10" s="98"/>
      <c r="V10" s="75"/>
      <c r="W10" s="98"/>
      <c r="X10" s="98"/>
      <c r="Y10" s="98"/>
      <c r="Z10" s="161"/>
    </row>
    <row r="11" spans="1:30" ht="13.5" thickBot="1" x14ac:dyDescent="0.25">
      <c r="A11" s="26"/>
      <c r="B11" s="27"/>
      <c r="C11" s="27"/>
      <c r="D11" s="27"/>
      <c r="E11" s="165"/>
      <c r="H11" s="767" t="s">
        <v>545</v>
      </c>
      <c r="I11" s="768"/>
      <c r="J11" s="767" t="s">
        <v>569</v>
      </c>
      <c r="K11" s="768"/>
      <c r="L11" s="767" t="s">
        <v>570</v>
      </c>
      <c r="M11" s="768"/>
      <c r="N11" s="259"/>
      <c r="O11" s="98"/>
      <c r="P11" s="186"/>
      <c r="Q11" s="98"/>
      <c r="R11" s="75"/>
      <c r="S11" s="75"/>
      <c r="T11" s="187"/>
      <c r="U11" s="186"/>
      <c r="V11" s="75"/>
      <c r="W11" s="98"/>
      <c r="X11" s="98"/>
      <c r="Y11" s="98"/>
      <c r="Z11" s="161"/>
    </row>
    <row r="12" spans="1:30" ht="13.5" thickBot="1" x14ac:dyDescent="0.25">
      <c r="A12" s="26"/>
      <c r="B12" s="27" t="s">
        <v>554</v>
      </c>
      <c r="C12" s="165"/>
      <c r="D12" s="27"/>
      <c r="E12" s="10"/>
      <c r="H12" s="271" t="s">
        <v>395</v>
      </c>
      <c r="I12" s="270" t="s">
        <v>541</v>
      </c>
      <c r="J12" s="271" t="s">
        <v>395</v>
      </c>
      <c r="K12" s="270" t="s">
        <v>541</v>
      </c>
      <c r="L12" s="271" t="s">
        <v>395</v>
      </c>
      <c r="M12" s="270" t="s">
        <v>541</v>
      </c>
      <c r="N12" s="269"/>
      <c r="O12" s="98"/>
      <c r="P12" s="186"/>
      <c r="Q12" s="769"/>
      <c r="R12" s="769"/>
      <c r="S12" s="769"/>
      <c r="T12" s="770"/>
      <c r="U12" s="186"/>
      <c r="V12" s="769"/>
      <c r="W12" s="769"/>
      <c r="X12" s="769"/>
      <c r="Y12" s="769"/>
      <c r="Z12" s="161"/>
      <c r="AD12" s="186"/>
    </row>
    <row r="13" spans="1:30" ht="13.5" thickBot="1" x14ac:dyDescent="0.25">
      <c r="A13" s="26"/>
      <c r="B13" s="186" t="s">
        <v>547</v>
      </c>
      <c r="C13" s="98"/>
      <c r="D13" s="522">
        <v>50</v>
      </c>
      <c r="E13" s="98"/>
      <c r="H13" s="268">
        <f>VLOOKUP($D$13,$B$33:$N$40,1)</f>
        <v>50</v>
      </c>
      <c r="I13" s="268" t="str">
        <f>VLOOKUP($D$13,$B$33:$N$40,11)</f>
        <v>49-9066</v>
      </c>
      <c r="J13" s="268">
        <f>VLOOKUP($D$13,$B$33:$N$40,1)</f>
        <v>50</v>
      </c>
      <c r="K13" s="268" t="str">
        <f>VLOOKUP($D$13,$B$33:$N$40,12)</f>
        <v>49-9064</v>
      </c>
      <c r="L13" s="268">
        <f>VLOOKUP($D$13,$B$33:$N$40,1)</f>
        <v>50</v>
      </c>
      <c r="M13" s="268" t="str">
        <f>VLOOKUP($D$13,$B$33:$N$40,13)</f>
        <v>49-9061</v>
      </c>
      <c r="N13" s="259"/>
      <c r="O13" s="98"/>
      <c r="P13" s="98"/>
      <c r="Q13" s="161"/>
      <c r="R13" s="161"/>
      <c r="S13" s="771"/>
      <c r="T13" s="772"/>
      <c r="U13" s="98"/>
      <c r="V13" s="161"/>
      <c r="W13" s="161"/>
      <c r="X13" s="771"/>
      <c r="Y13" s="771"/>
      <c r="Z13" s="161"/>
      <c r="AD13" s="186"/>
    </row>
    <row r="14" spans="1:30" ht="13.5" thickBot="1" x14ac:dyDescent="0.25">
      <c r="A14" s="26"/>
      <c r="B14" s="98"/>
      <c r="C14" s="98"/>
      <c r="D14" s="98"/>
      <c r="E14" s="98"/>
      <c r="F14" s="186"/>
      <c r="G14" s="186"/>
      <c r="H14" s="186"/>
      <c r="I14" s="186"/>
      <c r="J14" s="186"/>
      <c r="K14" s="186"/>
      <c r="L14" s="186"/>
      <c r="M14" s="186"/>
      <c r="N14" s="259"/>
      <c r="O14" s="98"/>
      <c r="P14" s="98"/>
      <c r="Q14" s="75"/>
      <c r="R14" s="75"/>
      <c r="S14" s="75"/>
      <c r="T14" s="187"/>
      <c r="U14" s="98"/>
      <c r="V14" s="75"/>
      <c r="W14" s="75"/>
      <c r="X14" s="75"/>
      <c r="Y14" s="75"/>
      <c r="Z14" s="161"/>
    </row>
    <row r="15" spans="1:30" ht="13.5" thickBot="1" x14ac:dyDescent="0.25">
      <c r="A15" s="26"/>
      <c r="B15" s="767" t="s">
        <v>548</v>
      </c>
      <c r="C15" s="768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259"/>
      <c r="O15" s="98"/>
      <c r="P15" s="186"/>
      <c r="Q15" s="165"/>
      <c r="R15" s="165"/>
      <c r="S15" s="165"/>
      <c r="T15" s="167"/>
      <c r="U15" s="252"/>
      <c r="V15" s="165"/>
      <c r="W15" s="165"/>
      <c r="X15" s="165"/>
      <c r="Y15" s="165"/>
      <c r="Z15" s="161"/>
    </row>
    <row r="16" spans="1:30" x14ac:dyDescent="0.2">
      <c r="A16" s="26"/>
      <c r="B16" s="267" t="s">
        <v>549</v>
      </c>
      <c r="C16" s="266" t="s">
        <v>394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259"/>
      <c r="O16" s="98"/>
      <c r="P16" s="186"/>
      <c r="Q16" s="165"/>
      <c r="R16" s="165"/>
      <c r="S16" s="165"/>
      <c r="T16" s="167"/>
      <c r="U16" s="252"/>
      <c r="V16" s="165"/>
      <c r="W16" s="165"/>
      <c r="X16" s="165"/>
      <c r="Y16" s="165"/>
      <c r="Z16" s="161"/>
    </row>
    <row r="17" spans="1:26" x14ac:dyDescent="0.2">
      <c r="A17" s="26"/>
      <c r="B17" s="254" t="s">
        <v>24</v>
      </c>
      <c r="C17" s="265" t="s">
        <v>550</v>
      </c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259"/>
      <c r="O17" s="98"/>
      <c r="P17" s="186"/>
      <c r="Q17" s="165"/>
      <c r="R17" s="165"/>
      <c r="S17" s="165"/>
      <c r="T17" s="167"/>
      <c r="U17" s="252"/>
      <c r="V17" s="165"/>
      <c r="W17" s="165"/>
      <c r="X17" s="165"/>
      <c r="Y17" s="165"/>
      <c r="Z17" s="161"/>
    </row>
    <row r="18" spans="1:26" ht="13.5" thickBot="1" x14ac:dyDescent="0.25">
      <c r="A18" s="26"/>
      <c r="B18" s="250" t="s">
        <v>377</v>
      </c>
      <c r="C18" s="249" t="s">
        <v>393</v>
      </c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259"/>
      <c r="O18" s="98"/>
      <c r="P18" s="186"/>
      <c r="Q18" s="165"/>
      <c r="R18" s="165"/>
      <c r="S18" s="165"/>
      <c r="T18" s="167"/>
      <c r="U18" s="252"/>
      <c r="V18" s="165"/>
      <c r="W18" s="165"/>
      <c r="X18" s="165"/>
      <c r="Y18" s="165"/>
      <c r="Z18" s="161"/>
    </row>
    <row r="19" spans="1:26" x14ac:dyDescent="0.2">
      <c r="A19" s="26"/>
      <c r="B19" s="264">
        <v>15</v>
      </c>
      <c r="C19" s="263" t="s">
        <v>366</v>
      </c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259"/>
      <c r="O19" s="98"/>
      <c r="P19" s="186"/>
      <c r="Q19" s="165"/>
      <c r="R19" s="165"/>
      <c r="S19" s="165"/>
      <c r="T19" s="167"/>
      <c r="U19" s="252"/>
      <c r="V19" s="165"/>
      <c r="W19" s="165"/>
      <c r="X19" s="165"/>
      <c r="Y19" s="165"/>
      <c r="Z19" s="161"/>
    </row>
    <row r="20" spans="1:26" x14ac:dyDescent="0.2">
      <c r="A20" s="26"/>
      <c r="B20" s="239">
        <v>20</v>
      </c>
      <c r="C20" s="238" t="s">
        <v>366</v>
      </c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259"/>
      <c r="O20" s="98"/>
      <c r="P20" s="186"/>
      <c r="Q20" s="165"/>
      <c r="R20" s="165"/>
      <c r="S20" s="165"/>
      <c r="T20" s="167"/>
      <c r="U20" s="252"/>
      <c r="V20" s="165"/>
      <c r="W20" s="165"/>
      <c r="X20" s="165"/>
      <c r="Y20" s="165"/>
      <c r="Z20" s="161"/>
    </row>
    <row r="21" spans="1:26" x14ac:dyDescent="0.2">
      <c r="A21" s="26"/>
      <c r="B21" s="261">
        <v>25</v>
      </c>
      <c r="C21" s="262" t="s">
        <v>366</v>
      </c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259"/>
      <c r="O21" s="98"/>
      <c r="P21" s="186"/>
      <c r="Q21" s="165"/>
      <c r="R21" s="165"/>
      <c r="S21" s="165"/>
      <c r="T21" s="167"/>
      <c r="U21" s="252"/>
      <c r="V21" s="165"/>
      <c r="W21" s="165"/>
      <c r="X21" s="165"/>
      <c r="Y21" s="165"/>
      <c r="Z21" s="161"/>
    </row>
    <row r="22" spans="1:26" x14ac:dyDescent="0.2">
      <c r="A22" s="26"/>
      <c r="B22" s="226"/>
      <c r="C22" s="225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259"/>
      <c r="O22" s="98"/>
      <c r="P22" s="186"/>
      <c r="Q22" s="165"/>
      <c r="R22" s="165"/>
      <c r="S22" s="165"/>
      <c r="T22" s="167"/>
      <c r="U22" s="252"/>
      <c r="V22" s="165"/>
      <c r="W22" s="165"/>
      <c r="X22" s="165"/>
      <c r="Y22" s="165"/>
      <c r="Z22" s="161"/>
    </row>
    <row r="23" spans="1:26" x14ac:dyDescent="0.2">
      <c r="A23" s="26"/>
      <c r="B23" s="261" t="s">
        <v>362</v>
      </c>
      <c r="C23" s="260" t="s">
        <v>352</v>
      </c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259"/>
      <c r="O23" s="98"/>
      <c r="P23" s="186"/>
      <c r="Q23" s="165"/>
      <c r="R23" s="165"/>
      <c r="S23" s="165"/>
      <c r="T23" s="167"/>
      <c r="U23" s="252"/>
      <c r="V23" s="165"/>
      <c r="W23" s="165"/>
      <c r="X23" s="165"/>
      <c r="Y23" s="165"/>
      <c r="Z23" s="161"/>
    </row>
    <row r="24" spans="1:26" x14ac:dyDescent="0.2">
      <c r="A24" s="26"/>
      <c r="B24" s="226">
        <v>32</v>
      </c>
      <c r="C24" s="225" t="s">
        <v>352</v>
      </c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259"/>
      <c r="O24" s="98"/>
      <c r="P24" s="186"/>
      <c r="Q24" s="165"/>
      <c r="R24" s="165"/>
      <c r="S24" s="165"/>
      <c r="T24" s="167"/>
      <c r="U24" s="252"/>
      <c r="V24" s="165"/>
      <c r="W24" s="165"/>
      <c r="X24" s="165"/>
      <c r="Y24" s="165"/>
      <c r="Z24" s="161"/>
    </row>
    <row r="25" spans="1:26" x14ac:dyDescent="0.2">
      <c r="A25" s="26"/>
      <c r="B25" s="261">
        <v>40</v>
      </c>
      <c r="C25" s="260" t="s">
        <v>352</v>
      </c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259"/>
      <c r="O25" s="98"/>
      <c r="P25" s="186"/>
      <c r="Q25" s="165"/>
      <c r="R25" s="165"/>
      <c r="S25" s="165"/>
      <c r="T25" s="167"/>
      <c r="U25" s="252"/>
      <c r="V25" s="165"/>
      <c r="W25" s="165"/>
      <c r="X25" s="165"/>
      <c r="Y25" s="165"/>
      <c r="Z25" s="161"/>
    </row>
    <row r="26" spans="1:26" ht="13.5" thickBot="1" x14ac:dyDescent="0.25">
      <c r="A26" s="26"/>
      <c r="B26" s="215">
        <v>50</v>
      </c>
      <c r="C26" s="214" t="s">
        <v>352</v>
      </c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259"/>
      <c r="O26" s="98"/>
      <c r="P26" s="186"/>
      <c r="Q26" s="165"/>
      <c r="R26" s="165"/>
      <c r="S26" s="165"/>
      <c r="T26" s="167"/>
      <c r="U26" s="252"/>
      <c r="V26" s="165"/>
      <c r="W26" s="165"/>
      <c r="X26" s="165"/>
      <c r="Y26" s="165"/>
      <c r="Z26" s="161"/>
    </row>
    <row r="27" spans="1:26" x14ac:dyDescent="0.2">
      <c r="A27" s="2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259"/>
      <c r="O27" s="98"/>
      <c r="P27" s="186"/>
      <c r="Q27" s="165"/>
      <c r="R27" s="165"/>
      <c r="S27" s="165"/>
      <c r="T27" s="167"/>
      <c r="U27" s="252"/>
      <c r="V27" s="165"/>
      <c r="W27" s="165"/>
      <c r="X27" s="165"/>
      <c r="Y27" s="165"/>
      <c r="Z27" s="161"/>
    </row>
    <row r="28" spans="1:26" ht="13.5" thickBot="1" x14ac:dyDescent="0.25">
      <c r="A28" s="258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6"/>
      <c r="O28" s="98"/>
      <c r="P28" s="186"/>
      <c r="Q28" s="255"/>
      <c r="R28" s="165"/>
      <c r="S28" s="165"/>
      <c r="T28" s="167"/>
      <c r="U28" s="252"/>
      <c r="V28" s="165"/>
      <c r="W28" s="165"/>
      <c r="X28" s="165"/>
      <c r="Y28" s="165"/>
      <c r="Z28" s="161"/>
    </row>
    <row r="29" spans="1:26" ht="14.25" hidden="1" thickTop="1" thickBot="1" x14ac:dyDescent="0.25">
      <c r="A29" s="240"/>
      <c r="B29" s="773" t="s">
        <v>392</v>
      </c>
      <c r="C29" s="774"/>
      <c r="D29" s="775" t="s">
        <v>391</v>
      </c>
      <c r="E29" s="776"/>
      <c r="F29" s="776"/>
      <c r="G29" s="777"/>
      <c r="H29" s="775" t="s">
        <v>390</v>
      </c>
      <c r="I29" s="776"/>
      <c r="J29" s="776"/>
      <c r="K29" s="777"/>
      <c r="L29" s="778" t="s">
        <v>389</v>
      </c>
      <c r="M29" s="779"/>
      <c r="N29" s="780"/>
      <c r="O29" s="98"/>
      <c r="P29" s="186"/>
      <c r="Q29" s="165"/>
      <c r="R29" s="165"/>
      <c r="S29" s="165"/>
      <c r="T29" s="167"/>
      <c r="U29" s="252"/>
      <c r="V29" s="165"/>
      <c r="W29" s="98"/>
      <c r="X29" s="98"/>
      <c r="Y29" s="98"/>
      <c r="Z29" s="161"/>
    </row>
    <row r="30" spans="1:26" ht="13.5" hidden="1" thickTop="1" x14ac:dyDescent="0.2">
      <c r="A30" s="240"/>
      <c r="B30" s="254" t="s">
        <v>388</v>
      </c>
      <c r="C30" s="253" t="s">
        <v>387</v>
      </c>
      <c r="D30" s="236" t="s">
        <v>387</v>
      </c>
      <c r="E30" s="235" t="s">
        <v>386</v>
      </c>
      <c r="F30" s="234" t="s">
        <v>385</v>
      </c>
      <c r="G30" s="233" t="s">
        <v>385</v>
      </c>
      <c r="H30" s="236" t="s">
        <v>387</v>
      </c>
      <c r="I30" s="235" t="s">
        <v>386</v>
      </c>
      <c r="J30" s="234" t="s">
        <v>385</v>
      </c>
      <c r="K30" s="233" t="s">
        <v>385</v>
      </c>
      <c r="L30" s="244" t="s">
        <v>385</v>
      </c>
      <c r="M30" s="243" t="s">
        <v>385</v>
      </c>
      <c r="N30" s="242" t="s">
        <v>385</v>
      </c>
      <c r="O30" s="98"/>
      <c r="P30" s="186"/>
      <c r="Q30" s="165"/>
      <c r="R30" s="165"/>
      <c r="S30" s="165"/>
      <c r="T30" s="167"/>
      <c r="U30" s="252"/>
      <c r="V30" s="165"/>
      <c r="W30" s="98"/>
      <c r="X30" s="98"/>
      <c r="Y30" s="98"/>
      <c r="Z30" s="161"/>
    </row>
    <row r="31" spans="1:26" ht="13.5" hidden="1" thickTop="1" x14ac:dyDescent="0.2">
      <c r="A31" s="227"/>
      <c r="B31" s="239" t="s">
        <v>24</v>
      </c>
      <c r="C31" s="225" t="s">
        <v>384</v>
      </c>
      <c r="D31" s="222" t="s">
        <v>383</v>
      </c>
      <c r="E31" s="221"/>
      <c r="F31" s="220" t="s">
        <v>382</v>
      </c>
      <c r="G31" s="219" t="s">
        <v>381</v>
      </c>
      <c r="H31" s="222" t="s">
        <v>383</v>
      </c>
      <c r="I31" s="221"/>
      <c r="J31" s="220" t="s">
        <v>382</v>
      </c>
      <c r="K31" s="219" t="s">
        <v>381</v>
      </c>
      <c r="L31" s="179" t="s">
        <v>380</v>
      </c>
      <c r="M31" s="251" t="s">
        <v>379</v>
      </c>
      <c r="N31" s="217" t="s">
        <v>378</v>
      </c>
      <c r="O31" s="98"/>
      <c r="P31" s="10"/>
      <c r="Q31" s="162"/>
      <c r="R31" s="162"/>
      <c r="S31" s="162"/>
      <c r="T31" s="163"/>
      <c r="U31" s="10"/>
      <c r="V31" s="162"/>
      <c r="W31" s="162"/>
      <c r="X31" s="162"/>
      <c r="Y31" s="10"/>
      <c r="Z31" s="10"/>
    </row>
    <row r="32" spans="1:26" ht="14.25" hidden="1" thickTop="1" thickBot="1" x14ac:dyDescent="0.25">
      <c r="A32" s="227"/>
      <c r="B32" s="250" t="s">
        <v>377</v>
      </c>
      <c r="C32" s="249" t="s">
        <v>343</v>
      </c>
      <c r="D32" s="213" t="s">
        <v>343</v>
      </c>
      <c r="E32" s="212" t="s">
        <v>376</v>
      </c>
      <c r="F32" s="211" t="s">
        <v>375</v>
      </c>
      <c r="G32" s="210" t="s">
        <v>374</v>
      </c>
      <c r="H32" s="213" t="s">
        <v>343</v>
      </c>
      <c r="I32" s="212" t="s">
        <v>376</v>
      </c>
      <c r="J32" s="211" t="s">
        <v>375</v>
      </c>
      <c r="K32" s="210" t="s">
        <v>374</v>
      </c>
      <c r="L32" s="248" t="s">
        <v>373</v>
      </c>
      <c r="M32" s="208" t="s">
        <v>373</v>
      </c>
      <c r="N32" s="247" t="s">
        <v>373</v>
      </c>
      <c r="O32" s="98"/>
      <c r="P32" s="10"/>
      <c r="Q32" s="162"/>
      <c r="R32" s="162"/>
      <c r="S32" s="162"/>
      <c r="T32" s="241"/>
      <c r="U32" s="161"/>
      <c r="V32" s="162"/>
      <c r="W32" s="162"/>
      <c r="X32" s="162"/>
      <c r="Y32" s="161"/>
      <c r="Z32" s="161"/>
    </row>
    <row r="33" spans="1:26" ht="13.5" hidden="1" thickTop="1" x14ac:dyDescent="0.2">
      <c r="A33" s="240"/>
      <c r="B33" s="246">
        <v>15</v>
      </c>
      <c r="C33" s="245" t="s">
        <v>366</v>
      </c>
      <c r="D33" s="236">
        <f>VLOOKUP($D$5,$B$47:$I$90,1)</f>
        <v>936</v>
      </c>
      <c r="E33" s="221">
        <f>VLOOKUP($D$5,$B$47:$I$90,2)</f>
        <v>21</v>
      </c>
      <c r="F33" s="234" t="str">
        <f>VLOOKUP($D$5,$B$47:$I$90,3)</f>
        <v>50-11750</v>
      </c>
      <c r="G33" s="233" t="str">
        <f>VLOOKUP($D$5,$B$47:$I$90,4)</f>
        <v>49-11750</v>
      </c>
      <c r="H33" s="236">
        <f>VLOOKUP($D$5,$B$47:$I$90,5)</f>
        <v>1020</v>
      </c>
      <c r="I33" s="235">
        <f>VLOOKUP($D$5,$B$47:$I$90,6)</f>
        <v>22</v>
      </c>
      <c r="J33" s="234" t="str">
        <f>VLOOKUP($D$5,$B$47:$I$90,7)</f>
        <v>50-20700</v>
      </c>
      <c r="K33" s="233" t="str">
        <f>VLOOKUP($D$5,$B$47:$I$90,8)</f>
        <v>49-20700</v>
      </c>
      <c r="L33" s="244" t="s">
        <v>372</v>
      </c>
      <c r="M33" s="243" t="s">
        <v>371</v>
      </c>
      <c r="N33" s="242" t="s">
        <v>370</v>
      </c>
      <c r="O33" s="98"/>
      <c r="P33" s="10"/>
      <c r="Q33" s="162"/>
      <c r="R33" s="162"/>
      <c r="S33" s="162"/>
      <c r="T33" s="241"/>
      <c r="U33" s="161"/>
      <c r="V33" s="162"/>
      <c r="W33" s="162"/>
      <c r="X33" s="162"/>
      <c r="Y33" s="161"/>
      <c r="Z33" s="161"/>
    </row>
    <row r="34" spans="1:26" ht="13.5" hidden="1" thickTop="1" x14ac:dyDescent="0.2">
      <c r="A34" s="240"/>
      <c r="B34" s="239">
        <v>20</v>
      </c>
      <c r="C34" s="238" t="s">
        <v>366</v>
      </c>
      <c r="D34" s="236">
        <f>VLOOKUP($D$5,$B$47:$I$90,1)</f>
        <v>936</v>
      </c>
      <c r="E34" s="221">
        <f>VLOOKUP($D$5,$B$47:$I$90,2)</f>
        <v>21</v>
      </c>
      <c r="F34" s="234" t="str">
        <f>VLOOKUP($D$5,$B$47:$I$90,3)</f>
        <v>50-11750</v>
      </c>
      <c r="G34" s="233" t="str">
        <f>VLOOKUP($D$5,$B$47:$I$90,4)</f>
        <v>49-11750</v>
      </c>
      <c r="H34" s="236">
        <f>VLOOKUP($D$5,$B$47:$I$90,5)</f>
        <v>1020</v>
      </c>
      <c r="I34" s="235">
        <f>VLOOKUP($D$5,$B$47:$I$90,6)</f>
        <v>22</v>
      </c>
      <c r="J34" s="234" t="str">
        <f>VLOOKUP($D$5,$B$47:$I$90,7)</f>
        <v>50-20700</v>
      </c>
      <c r="K34" s="233" t="str">
        <f>VLOOKUP($D$5,$B$47:$I$90,8)</f>
        <v>49-20700</v>
      </c>
      <c r="L34" s="179" t="s">
        <v>369</v>
      </c>
      <c r="M34" s="218" t="s">
        <v>368</v>
      </c>
      <c r="N34" s="217" t="s">
        <v>367</v>
      </c>
      <c r="O34" s="98"/>
      <c r="P34" s="10"/>
      <c r="Q34" s="10"/>
      <c r="R34" s="10"/>
      <c r="S34" s="10"/>
      <c r="T34" s="163"/>
      <c r="U34" s="10"/>
      <c r="V34" s="162"/>
      <c r="W34" s="162"/>
      <c r="X34" s="162"/>
      <c r="Y34" s="161"/>
      <c r="Z34" s="161"/>
    </row>
    <row r="35" spans="1:26" ht="13.5" hidden="1" thickTop="1" x14ac:dyDescent="0.2">
      <c r="A35" s="227"/>
      <c r="B35" s="224">
        <v>25</v>
      </c>
      <c r="C35" s="237" t="s">
        <v>366</v>
      </c>
      <c r="D35" s="236">
        <f>VLOOKUP($D$5,$B$47:$I$90,1)</f>
        <v>936</v>
      </c>
      <c r="E35" s="221">
        <f>VLOOKUP($D$5,$B$47:$I$90,2)</f>
        <v>21</v>
      </c>
      <c r="F35" s="234" t="str">
        <f>VLOOKUP($D$5,$B$47:$I$90,3)</f>
        <v>50-11750</v>
      </c>
      <c r="G35" s="233" t="str">
        <f>VLOOKUP($D$5,$B$47:$I$90,4)</f>
        <v>49-11750</v>
      </c>
      <c r="H35" s="236">
        <f>VLOOKUP($D$5,$B$47:$I$90,5)</f>
        <v>1020</v>
      </c>
      <c r="I35" s="235">
        <f>VLOOKUP($D$5,$B$47:$I$90,6)</f>
        <v>22</v>
      </c>
      <c r="J35" s="234" t="str">
        <f>VLOOKUP($D$5,$B$47:$I$90,7)</f>
        <v>50-20700</v>
      </c>
      <c r="K35" s="233" t="str">
        <f>VLOOKUP($D$5,$B$47:$I$90,8)</f>
        <v>49-20700</v>
      </c>
      <c r="L35" s="179" t="s">
        <v>365</v>
      </c>
      <c r="M35" s="218" t="s">
        <v>364</v>
      </c>
      <c r="N35" s="217" t="s">
        <v>363</v>
      </c>
      <c r="O35" s="98"/>
      <c r="P35" s="10"/>
      <c r="Q35" s="10"/>
      <c r="R35" s="10"/>
      <c r="S35" s="10"/>
      <c r="T35" s="163"/>
      <c r="U35" s="10"/>
      <c r="V35" s="10"/>
      <c r="W35" s="10"/>
      <c r="X35" s="10"/>
      <c r="Y35" s="10"/>
      <c r="Z35" s="10"/>
    </row>
    <row r="36" spans="1:26" ht="13.9" hidden="1" customHeight="1" x14ac:dyDescent="0.2">
      <c r="A36" s="227"/>
      <c r="B36" s="226"/>
      <c r="C36" s="225"/>
      <c r="D36" s="231"/>
      <c r="E36" s="230"/>
      <c r="F36" s="232"/>
      <c r="G36" s="228"/>
      <c r="H36" s="231"/>
      <c r="I36" s="230"/>
      <c r="J36" s="229"/>
      <c r="K36" s="228"/>
      <c r="L36" s="179"/>
      <c r="M36" s="218"/>
      <c r="N36" s="217"/>
      <c r="O36" s="98"/>
      <c r="P36" s="10"/>
      <c r="Q36" s="10"/>
      <c r="R36" s="158"/>
      <c r="S36" s="10"/>
      <c r="T36" s="163"/>
      <c r="U36" s="10"/>
      <c r="V36" s="10"/>
      <c r="W36" s="10"/>
      <c r="X36" s="10"/>
      <c r="Y36" s="10"/>
      <c r="Z36" s="157"/>
    </row>
    <row r="37" spans="1:26" ht="13.9" hidden="1" customHeight="1" x14ac:dyDescent="0.2">
      <c r="A37" s="227"/>
      <c r="B37" s="224" t="s">
        <v>362</v>
      </c>
      <c r="C37" s="223" t="s">
        <v>352</v>
      </c>
      <c r="D37" s="222">
        <f>VLOOKUP($D$5,$J$47:$Q$90,1)</f>
        <v>861</v>
      </c>
      <c r="E37" s="221">
        <f>VLOOKUP($D$5,$J$47:$Q$90,2)</f>
        <v>12</v>
      </c>
      <c r="F37" s="220" t="str">
        <f>VLOOKUP($D$5,$J$47:$Q$90,3)</f>
        <v>50-33082</v>
      </c>
      <c r="G37" s="219" t="str">
        <f>VLOOKUP($D$5,$J$47:$Q$90,4)</f>
        <v>49-33082</v>
      </c>
      <c r="H37" s="222">
        <f>VLOOKUP($D$5,$J$47:$Q$90,5)</f>
        <v>1020</v>
      </c>
      <c r="I37" s="221">
        <f>VLOOKUP($D$5,$J$47:$Q$90,6)</f>
        <v>12</v>
      </c>
      <c r="J37" s="220" t="str">
        <f>VLOOKUP($D$5,$J$47:$Q$90,7)</f>
        <v>50-33089</v>
      </c>
      <c r="K37" s="219" t="str">
        <f>VLOOKUP($D$5,$J$47:$Q$90,8)</f>
        <v>49-33089</v>
      </c>
      <c r="L37" s="179" t="s">
        <v>361</v>
      </c>
      <c r="M37" s="218" t="s">
        <v>360</v>
      </c>
      <c r="N37" s="217" t="s">
        <v>359</v>
      </c>
      <c r="O37" s="98"/>
      <c r="P37" s="10"/>
      <c r="Q37" s="10"/>
      <c r="R37" s="10"/>
      <c r="S37" s="10"/>
      <c r="T37" s="163"/>
      <c r="U37" s="10"/>
      <c r="V37" s="10"/>
      <c r="W37" s="10"/>
      <c r="X37" s="10"/>
      <c r="Y37" s="10"/>
      <c r="Z37" s="10"/>
    </row>
    <row r="38" spans="1:26" ht="13.9" hidden="1" customHeight="1" x14ac:dyDescent="0.2">
      <c r="A38" s="196"/>
      <c r="B38" s="226">
        <v>32</v>
      </c>
      <c r="C38" s="225" t="s">
        <v>352</v>
      </c>
      <c r="D38" s="222">
        <f>VLOOKUP($D$5,$J$47:$Q$90,1)</f>
        <v>861</v>
      </c>
      <c r="E38" s="221">
        <f>VLOOKUP($D$5,$J$47:$Q$90,2)</f>
        <v>12</v>
      </c>
      <c r="F38" s="220" t="str">
        <f>VLOOKUP($D$5,$J$47:$Q$90,3)</f>
        <v>50-33082</v>
      </c>
      <c r="G38" s="219" t="str">
        <f>VLOOKUP($D$5,$J$47:$Q$90,4)</f>
        <v>49-33082</v>
      </c>
      <c r="H38" s="222">
        <f>VLOOKUP($D$5,$J$47:$Q$90,5)</f>
        <v>1020</v>
      </c>
      <c r="I38" s="221">
        <f>VLOOKUP($D$5,$J$47:$Q$90,6)</f>
        <v>12</v>
      </c>
      <c r="J38" s="220" t="str">
        <f>VLOOKUP($D$5,$J$47:$Q$90,7)</f>
        <v>50-33089</v>
      </c>
      <c r="K38" s="219" t="str">
        <f>VLOOKUP($D$5,$J$47:$Q$90,8)</f>
        <v>49-33089</v>
      </c>
      <c r="L38" s="179" t="s">
        <v>358</v>
      </c>
      <c r="M38" s="218" t="s">
        <v>357</v>
      </c>
      <c r="N38" s="217" t="s">
        <v>356</v>
      </c>
      <c r="O38" s="98"/>
      <c r="P38" s="10"/>
      <c r="Q38" s="10"/>
      <c r="R38" s="158"/>
      <c r="S38" s="10"/>
      <c r="T38" s="163"/>
      <c r="U38" s="10"/>
      <c r="V38" s="10"/>
      <c r="W38" s="10"/>
      <c r="X38" s="10"/>
      <c r="Y38" s="10"/>
      <c r="Z38" s="10"/>
    </row>
    <row r="39" spans="1:26" ht="13.9" hidden="1" customHeight="1" x14ac:dyDescent="0.2">
      <c r="A39" s="196"/>
      <c r="B39" s="224">
        <v>40</v>
      </c>
      <c r="C39" s="223" t="s">
        <v>352</v>
      </c>
      <c r="D39" s="222">
        <f>VLOOKUP($D$5,$J$47:$Q$90,1)</f>
        <v>861</v>
      </c>
      <c r="E39" s="221">
        <f>VLOOKUP($D$5,$J$47:$Q$90,2)</f>
        <v>12</v>
      </c>
      <c r="F39" s="220" t="str">
        <f>VLOOKUP($D$5,$J$47:$Q$90,3)</f>
        <v>50-33082</v>
      </c>
      <c r="G39" s="219" t="str">
        <f>VLOOKUP($D$5,$J$47:$Q$90,4)</f>
        <v>49-33082</v>
      </c>
      <c r="H39" s="222">
        <f>VLOOKUP($D$5,$J$47:$Q$90,5)</f>
        <v>1020</v>
      </c>
      <c r="I39" s="221">
        <f>VLOOKUP($D$5,$J$47:$Q$90,6)</f>
        <v>12</v>
      </c>
      <c r="J39" s="220" t="str">
        <f>VLOOKUP($D$5,$J$47:$Q$90,7)</f>
        <v>50-33089</v>
      </c>
      <c r="K39" s="219" t="str">
        <f>VLOOKUP($D$5,$J$47:$Q$90,8)</f>
        <v>49-33089</v>
      </c>
      <c r="L39" s="179" t="s">
        <v>355</v>
      </c>
      <c r="M39" s="218" t="s">
        <v>354</v>
      </c>
      <c r="N39" s="217" t="s">
        <v>353</v>
      </c>
      <c r="O39" s="98"/>
      <c r="P39" s="10"/>
      <c r="Q39" s="10"/>
      <c r="R39" s="10"/>
      <c r="S39" s="10"/>
      <c r="T39" s="163"/>
      <c r="U39" s="10"/>
      <c r="V39" s="10"/>
      <c r="W39" s="10"/>
      <c r="X39" s="10"/>
      <c r="Y39" s="10"/>
      <c r="Z39" s="10"/>
    </row>
    <row r="40" spans="1:26" ht="13.9" hidden="1" customHeight="1" thickBot="1" x14ac:dyDescent="0.25">
      <c r="A40" s="216"/>
      <c r="B40" s="215">
        <v>50</v>
      </c>
      <c r="C40" s="214" t="s">
        <v>352</v>
      </c>
      <c r="D40" s="213">
        <f>VLOOKUP($D$5,$J$47:$Q$90,1)</f>
        <v>861</v>
      </c>
      <c r="E40" s="212">
        <f>VLOOKUP($D$5,$J$47:$Q$90,2)</f>
        <v>12</v>
      </c>
      <c r="F40" s="211" t="str">
        <f>VLOOKUP($D$5,$J$47:$Q$90,3)</f>
        <v>50-33082</v>
      </c>
      <c r="G40" s="210" t="str">
        <f>VLOOKUP($D$5,$J$47:$Q$90,4)</f>
        <v>49-33082</v>
      </c>
      <c r="H40" s="213">
        <f>VLOOKUP($D$5,$J$47:$Q$90,5)</f>
        <v>1020</v>
      </c>
      <c r="I40" s="212">
        <f>VLOOKUP($D$5,$J$47:$Q$90,6)</f>
        <v>12</v>
      </c>
      <c r="J40" s="211" t="str">
        <f>VLOOKUP($D$5,$J$47:$Q$90,7)</f>
        <v>50-33089</v>
      </c>
      <c r="K40" s="210" t="str">
        <f>VLOOKUP($D$5,$J$47:$Q$90,8)</f>
        <v>49-33089</v>
      </c>
      <c r="L40" s="209" t="s">
        <v>351</v>
      </c>
      <c r="M40" s="208" t="s">
        <v>350</v>
      </c>
      <c r="N40" s="207" t="s">
        <v>349</v>
      </c>
      <c r="O40" s="206"/>
      <c r="P40" s="160"/>
      <c r="Q40" s="160"/>
      <c r="R40" s="160"/>
      <c r="S40" s="160"/>
      <c r="T40" s="159"/>
      <c r="U40" s="10"/>
      <c r="V40" s="10"/>
      <c r="W40" s="10"/>
      <c r="X40" s="10"/>
      <c r="Y40" s="10"/>
      <c r="Z40" s="10"/>
    </row>
    <row r="41" spans="1:26" ht="28.15" hidden="1" customHeight="1" x14ac:dyDescent="0.2">
      <c r="A41" s="196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98"/>
      <c r="P41" s="10"/>
      <c r="Q41" s="10"/>
      <c r="R41" s="157"/>
      <c r="S41" s="10"/>
      <c r="T41" s="163"/>
      <c r="U41" s="10"/>
      <c r="V41" s="10"/>
      <c r="W41" s="10"/>
      <c r="X41" s="10"/>
      <c r="Y41" s="10"/>
      <c r="Z41" s="10"/>
    </row>
    <row r="42" spans="1:26" ht="28.15" hidden="1" customHeight="1" thickBot="1" x14ac:dyDescent="0.25">
      <c r="A42" s="196"/>
      <c r="B42" s="165"/>
      <c r="C42" s="75"/>
      <c r="D42" s="165"/>
      <c r="E42" s="186"/>
      <c r="F42" s="186"/>
      <c r="G42" s="186"/>
      <c r="H42" s="186"/>
      <c r="I42" s="165"/>
      <c r="J42" s="186"/>
      <c r="K42" s="186"/>
      <c r="L42" s="98"/>
      <c r="M42" s="98"/>
      <c r="N42" s="98"/>
      <c r="O42" s="98"/>
      <c r="P42" s="10"/>
      <c r="Q42" s="10"/>
      <c r="R42" s="157"/>
      <c r="S42" s="10"/>
      <c r="T42" s="163"/>
      <c r="U42" s="10"/>
      <c r="V42" s="10"/>
      <c r="W42" s="10"/>
      <c r="X42" s="10"/>
      <c r="Y42" s="10"/>
      <c r="Z42" s="10"/>
    </row>
    <row r="43" spans="1:26" ht="28.15" hidden="1" customHeight="1" thickBot="1" x14ac:dyDescent="0.25">
      <c r="A43" s="181"/>
      <c r="B43" s="781" t="s">
        <v>348</v>
      </c>
      <c r="C43" s="781"/>
      <c r="D43" s="781"/>
      <c r="E43" s="781"/>
      <c r="F43" s="781"/>
      <c r="G43" s="781"/>
      <c r="H43" s="781"/>
      <c r="I43" s="782"/>
      <c r="J43" s="783" t="s">
        <v>347</v>
      </c>
      <c r="K43" s="784"/>
      <c r="L43" s="784"/>
      <c r="M43" s="784"/>
      <c r="N43" s="784"/>
      <c r="O43" s="784"/>
      <c r="P43" s="784"/>
      <c r="Q43" s="785"/>
      <c r="R43" s="157" t="s">
        <v>346</v>
      </c>
      <c r="S43" s="10"/>
      <c r="T43" s="163"/>
      <c r="U43" s="10"/>
      <c r="V43" s="10"/>
      <c r="W43" s="10"/>
      <c r="X43" s="10"/>
      <c r="Y43" s="10"/>
      <c r="Z43" s="10"/>
    </row>
    <row r="44" spans="1:26" ht="28.15" hidden="1" customHeight="1" x14ac:dyDescent="0.2">
      <c r="A44" s="181"/>
      <c r="B44" s="786" t="s">
        <v>345</v>
      </c>
      <c r="C44" s="787"/>
      <c r="D44" s="787"/>
      <c r="E44" s="787"/>
      <c r="F44" s="787" t="s">
        <v>344</v>
      </c>
      <c r="G44" s="787"/>
      <c r="H44" s="787"/>
      <c r="I44" s="788"/>
      <c r="J44" s="789" t="s">
        <v>345</v>
      </c>
      <c r="K44" s="790"/>
      <c r="L44" s="790"/>
      <c r="M44" s="790"/>
      <c r="N44" s="791" t="s">
        <v>344</v>
      </c>
      <c r="O44" s="792"/>
      <c r="P44" s="792"/>
      <c r="Q44" s="793"/>
      <c r="R44" s="10"/>
      <c r="S44" s="10"/>
      <c r="T44" s="163"/>
      <c r="U44" s="10"/>
      <c r="V44" s="10"/>
      <c r="W44" s="10"/>
      <c r="X44" s="10"/>
      <c r="Y44" s="10"/>
      <c r="Z44" s="10"/>
    </row>
    <row r="45" spans="1:26" ht="28.15" hidden="1" customHeight="1" x14ac:dyDescent="0.2">
      <c r="A45" s="181"/>
      <c r="B45" s="200" t="s">
        <v>343</v>
      </c>
      <c r="C45" s="2" t="s">
        <v>4</v>
      </c>
      <c r="D45" s="796" t="s">
        <v>342</v>
      </c>
      <c r="E45" s="796"/>
      <c r="F45" s="2" t="s">
        <v>343</v>
      </c>
      <c r="G45" s="2" t="s">
        <v>4</v>
      </c>
      <c r="H45" s="796" t="s">
        <v>342</v>
      </c>
      <c r="I45" s="797"/>
      <c r="J45" s="200" t="s">
        <v>343</v>
      </c>
      <c r="K45" s="2" t="s">
        <v>4</v>
      </c>
      <c r="L45" s="796" t="s">
        <v>342</v>
      </c>
      <c r="M45" s="796"/>
      <c r="N45" s="204" t="s">
        <v>343</v>
      </c>
      <c r="O45" s="204" t="s">
        <v>4</v>
      </c>
      <c r="P45" s="798" t="s">
        <v>342</v>
      </c>
      <c r="Q45" s="798"/>
      <c r="R45" s="157" t="s">
        <v>341</v>
      </c>
      <c r="S45" s="10"/>
      <c r="T45" s="163"/>
      <c r="U45" s="10"/>
      <c r="V45" s="10"/>
      <c r="W45" s="10"/>
      <c r="X45" s="10"/>
      <c r="Y45" s="10"/>
      <c r="Z45" s="10"/>
    </row>
    <row r="46" spans="1:26" ht="28.15" hidden="1" customHeight="1" x14ac:dyDescent="0.2">
      <c r="A46" s="181"/>
      <c r="B46" s="200"/>
      <c r="C46" s="2" t="s">
        <v>340</v>
      </c>
      <c r="D46" s="2" t="s">
        <v>339</v>
      </c>
      <c r="E46" s="2" t="s">
        <v>338</v>
      </c>
      <c r="F46" s="2"/>
      <c r="G46" s="2" t="s">
        <v>340</v>
      </c>
      <c r="H46" s="2" t="s">
        <v>339</v>
      </c>
      <c r="I46" s="203" t="s">
        <v>338</v>
      </c>
      <c r="J46" s="200"/>
      <c r="K46" s="2" t="s">
        <v>340</v>
      </c>
      <c r="L46" s="2" t="s">
        <v>339</v>
      </c>
      <c r="M46" s="2" t="s">
        <v>338</v>
      </c>
      <c r="N46" s="2"/>
      <c r="O46" s="2" t="s">
        <v>340</v>
      </c>
      <c r="P46" s="2" t="s">
        <v>339</v>
      </c>
      <c r="Q46" s="2" t="s">
        <v>338</v>
      </c>
      <c r="R46" s="10"/>
      <c r="S46" s="10"/>
      <c r="T46" s="163"/>
      <c r="U46" s="10"/>
      <c r="V46" s="10"/>
      <c r="W46" s="10"/>
      <c r="X46" s="10"/>
      <c r="Y46" s="10"/>
      <c r="Z46" s="10"/>
    </row>
    <row r="47" spans="1:26" ht="28.15" hidden="1" customHeight="1" x14ac:dyDescent="0.2">
      <c r="A47" s="181"/>
      <c r="B47" s="200">
        <v>0</v>
      </c>
      <c r="C47" s="202"/>
      <c r="D47" s="202"/>
      <c r="E47" s="202"/>
      <c r="F47" s="2">
        <v>25</v>
      </c>
      <c r="G47" s="2">
        <v>7</v>
      </c>
      <c r="H47" s="3" t="s">
        <v>337</v>
      </c>
      <c r="I47" s="201" t="s">
        <v>330</v>
      </c>
      <c r="J47" s="191">
        <v>0</v>
      </c>
      <c r="K47" s="189"/>
      <c r="L47" s="3"/>
      <c r="M47" s="189"/>
      <c r="N47" s="189">
        <v>674</v>
      </c>
      <c r="O47" s="189">
        <v>12</v>
      </c>
      <c r="P47" s="189" t="s">
        <v>336</v>
      </c>
      <c r="Q47" s="189" t="s">
        <v>335</v>
      </c>
      <c r="R47" s="10"/>
      <c r="S47" s="10"/>
      <c r="T47" s="163"/>
      <c r="U47" s="10"/>
      <c r="V47" s="10"/>
      <c r="W47" s="10"/>
      <c r="X47" s="10"/>
      <c r="Y47" s="10"/>
      <c r="Z47" s="10"/>
    </row>
    <row r="48" spans="1:26" ht="28.15" hidden="1" customHeight="1" x14ac:dyDescent="0.2">
      <c r="A48" s="181"/>
      <c r="B48" s="200">
        <v>25</v>
      </c>
      <c r="C48" s="2">
        <v>7</v>
      </c>
      <c r="D48" s="3" t="s">
        <v>337</v>
      </c>
      <c r="E48" s="61" t="s">
        <v>330</v>
      </c>
      <c r="F48" s="2">
        <v>36</v>
      </c>
      <c r="G48" s="2">
        <v>7</v>
      </c>
      <c r="H48" s="3" t="s">
        <v>334</v>
      </c>
      <c r="I48" s="201" t="s">
        <v>330</v>
      </c>
      <c r="J48" s="191">
        <v>674</v>
      </c>
      <c r="K48" s="189">
        <v>12</v>
      </c>
      <c r="L48" s="189" t="s">
        <v>336</v>
      </c>
      <c r="M48" s="189" t="s">
        <v>335</v>
      </c>
      <c r="N48" s="189">
        <v>861</v>
      </c>
      <c r="O48" s="189">
        <v>12</v>
      </c>
      <c r="P48" s="189" t="s">
        <v>333</v>
      </c>
      <c r="Q48" s="189" t="s">
        <v>332</v>
      </c>
      <c r="R48" s="10"/>
      <c r="S48" s="10"/>
      <c r="T48" s="163"/>
    </row>
    <row r="49" spans="1:20" ht="28.15" hidden="1" customHeight="1" x14ac:dyDescent="0.2">
      <c r="A49" s="181"/>
      <c r="B49" s="200">
        <v>36</v>
      </c>
      <c r="C49" s="2">
        <v>7</v>
      </c>
      <c r="D49" s="3" t="s">
        <v>334</v>
      </c>
      <c r="E49" s="61" t="s">
        <v>330</v>
      </c>
      <c r="F49" s="2">
        <v>43</v>
      </c>
      <c r="G49" s="2">
        <v>7</v>
      </c>
      <c r="H49" s="3" t="s">
        <v>331</v>
      </c>
      <c r="I49" s="201" t="s">
        <v>330</v>
      </c>
      <c r="J49" s="191">
        <v>861</v>
      </c>
      <c r="K49" s="189">
        <v>12</v>
      </c>
      <c r="L49" s="189" t="s">
        <v>333</v>
      </c>
      <c r="M49" s="189" t="s">
        <v>332</v>
      </c>
      <c r="N49" s="189">
        <v>1020</v>
      </c>
      <c r="O49" s="189">
        <v>12</v>
      </c>
      <c r="P49" s="189" t="s">
        <v>329</v>
      </c>
      <c r="Q49" s="189" t="s">
        <v>328</v>
      </c>
      <c r="R49" s="10"/>
      <c r="S49" s="10"/>
      <c r="T49" s="163"/>
    </row>
    <row r="50" spans="1:20" ht="28.15" hidden="1" customHeight="1" x14ac:dyDescent="0.2">
      <c r="A50" s="181"/>
      <c r="B50" s="200">
        <v>43</v>
      </c>
      <c r="C50" s="2">
        <v>7</v>
      </c>
      <c r="D50" s="3" t="s">
        <v>331</v>
      </c>
      <c r="E50" s="61" t="s">
        <v>330</v>
      </c>
      <c r="F50" s="2">
        <v>55</v>
      </c>
      <c r="G50" s="2">
        <v>7</v>
      </c>
      <c r="H50" s="3" t="s">
        <v>327</v>
      </c>
      <c r="I50" s="192" t="s">
        <v>326</v>
      </c>
      <c r="J50" s="191">
        <v>1020</v>
      </c>
      <c r="K50" s="189">
        <v>12</v>
      </c>
      <c r="L50" s="189" t="s">
        <v>329</v>
      </c>
      <c r="M50" s="189" t="s">
        <v>328</v>
      </c>
      <c r="N50" s="189">
        <v>1136</v>
      </c>
      <c r="O50" s="189">
        <v>12</v>
      </c>
      <c r="P50" s="189" t="s">
        <v>325</v>
      </c>
      <c r="Q50" s="189" t="s">
        <v>324</v>
      </c>
      <c r="R50" s="10"/>
      <c r="S50" s="10"/>
      <c r="T50" s="163"/>
    </row>
    <row r="51" spans="1:20" ht="28.15" hidden="1" customHeight="1" x14ac:dyDescent="0.2">
      <c r="A51" s="181"/>
      <c r="B51" s="200">
        <v>55</v>
      </c>
      <c r="C51" s="2">
        <v>7</v>
      </c>
      <c r="D51" s="3" t="s">
        <v>327</v>
      </c>
      <c r="E51" s="3" t="s">
        <v>326</v>
      </c>
      <c r="F51" s="2">
        <v>75</v>
      </c>
      <c r="G51" s="2">
        <v>8</v>
      </c>
      <c r="H51" s="3" t="s">
        <v>323</v>
      </c>
      <c r="I51" s="192" t="s">
        <v>322</v>
      </c>
      <c r="J51" s="191">
        <v>1136</v>
      </c>
      <c r="K51" s="189">
        <v>12</v>
      </c>
      <c r="L51" s="189" t="s">
        <v>325</v>
      </c>
      <c r="M51" s="189" t="s">
        <v>324</v>
      </c>
      <c r="N51" s="189">
        <v>1190</v>
      </c>
      <c r="O51" s="189">
        <v>12</v>
      </c>
      <c r="P51" s="189" t="s">
        <v>321</v>
      </c>
      <c r="Q51" s="189" t="s">
        <v>320</v>
      </c>
      <c r="R51" s="10"/>
      <c r="S51" s="10"/>
      <c r="T51" s="163"/>
    </row>
    <row r="52" spans="1:20" ht="28.15" hidden="1" customHeight="1" x14ac:dyDescent="0.2">
      <c r="A52" s="181"/>
      <c r="B52" s="200">
        <v>75</v>
      </c>
      <c r="C52" s="2">
        <v>8</v>
      </c>
      <c r="D52" s="3" t="s">
        <v>323</v>
      </c>
      <c r="E52" s="3" t="s">
        <v>322</v>
      </c>
      <c r="F52" s="2">
        <v>84</v>
      </c>
      <c r="G52" s="2">
        <v>9</v>
      </c>
      <c r="H52" s="3" t="s">
        <v>319</v>
      </c>
      <c r="I52" s="192" t="s">
        <v>318</v>
      </c>
      <c r="J52" s="191">
        <v>1190</v>
      </c>
      <c r="K52" s="189">
        <v>12</v>
      </c>
      <c r="L52" s="189" t="s">
        <v>321</v>
      </c>
      <c r="M52" s="189" t="s">
        <v>320</v>
      </c>
      <c r="N52" s="189">
        <v>1272</v>
      </c>
      <c r="O52" s="189">
        <v>13</v>
      </c>
      <c r="P52" s="189" t="s">
        <v>317</v>
      </c>
      <c r="Q52" s="189" t="s">
        <v>316</v>
      </c>
      <c r="R52" s="10"/>
      <c r="S52" s="10"/>
      <c r="T52" s="163"/>
    </row>
    <row r="53" spans="1:20" ht="28.15" hidden="1" customHeight="1" x14ac:dyDescent="0.2">
      <c r="A53" s="181"/>
      <c r="B53" s="200">
        <v>84</v>
      </c>
      <c r="C53" s="2">
        <v>9</v>
      </c>
      <c r="D53" s="3" t="s">
        <v>319</v>
      </c>
      <c r="E53" s="3" t="s">
        <v>318</v>
      </c>
      <c r="F53" s="2">
        <v>104</v>
      </c>
      <c r="G53" s="2">
        <v>10</v>
      </c>
      <c r="H53" s="3" t="s">
        <v>315</v>
      </c>
      <c r="I53" s="192" t="s">
        <v>314</v>
      </c>
      <c r="J53" s="191">
        <v>1272</v>
      </c>
      <c r="K53" s="189">
        <v>13</v>
      </c>
      <c r="L53" s="189" t="s">
        <v>317</v>
      </c>
      <c r="M53" s="189" t="s">
        <v>316</v>
      </c>
      <c r="N53" s="189">
        <v>1349</v>
      </c>
      <c r="O53" s="189">
        <v>13</v>
      </c>
      <c r="P53" s="189" t="s">
        <v>313</v>
      </c>
      <c r="Q53" s="189" t="s">
        <v>312</v>
      </c>
      <c r="R53" s="10"/>
      <c r="S53" s="10"/>
      <c r="T53" s="163"/>
    </row>
    <row r="54" spans="1:20" ht="28.15" hidden="1" customHeight="1" x14ac:dyDescent="0.2">
      <c r="A54" s="181"/>
      <c r="B54" s="200">
        <v>104</v>
      </c>
      <c r="C54" s="2">
        <v>10</v>
      </c>
      <c r="D54" s="3" t="s">
        <v>315</v>
      </c>
      <c r="E54" s="3" t="s">
        <v>314</v>
      </c>
      <c r="F54" s="2">
        <v>114</v>
      </c>
      <c r="G54" s="2">
        <v>10</v>
      </c>
      <c r="H54" s="3" t="s">
        <v>311</v>
      </c>
      <c r="I54" s="192" t="s">
        <v>310</v>
      </c>
      <c r="J54" s="191">
        <v>1349</v>
      </c>
      <c r="K54" s="189">
        <v>13</v>
      </c>
      <c r="L54" s="189" t="s">
        <v>313</v>
      </c>
      <c r="M54" s="189" t="s">
        <v>312</v>
      </c>
      <c r="N54" s="189">
        <v>1485</v>
      </c>
      <c r="O54" s="189">
        <v>13</v>
      </c>
      <c r="P54" s="189" t="s">
        <v>309</v>
      </c>
      <c r="Q54" s="189" t="s">
        <v>308</v>
      </c>
      <c r="R54" s="98"/>
      <c r="S54" s="10"/>
      <c r="T54" s="163"/>
    </row>
    <row r="55" spans="1:20" ht="28.15" hidden="1" customHeight="1" x14ac:dyDescent="0.2">
      <c r="A55" s="181"/>
      <c r="B55" s="200">
        <v>114</v>
      </c>
      <c r="C55" s="2">
        <v>10</v>
      </c>
      <c r="D55" s="3" t="s">
        <v>311</v>
      </c>
      <c r="E55" s="3" t="s">
        <v>310</v>
      </c>
      <c r="F55" s="2">
        <v>129</v>
      </c>
      <c r="G55" s="2">
        <v>11</v>
      </c>
      <c r="H55" s="3" t="s">
        <v>307</v>
      </c>
      <c r="I55" s="192" t="s">
        <v>306</v>
      </c>
      <c r="J55" s="191">
        <v>1485</v>
      </c>
      <c r="K55" s="189">
        <v>13</v>
      </c>
      <c r="L55" s="189" t="s">
        <v>309</v>
      </c>
      <c r="M55" s="189" t="s">
        <v>308</v>
      </c>
      <c r="N55" s="189">
        <v>1567</v>
      </c>
      <c r="O55" s="189">
        <v>14</v>
      </c>
      <c r="P55" s="189" t="s">
        <v>305</v>
      </c>
      <c r="Q55" s="189" t="s">
        <v>304</v>
      </c>
      <c r="R55" s="98"/>
      <c r="S55" s="10"/>
      <c r="T55" s="163"/>
    </row>
    <row r="56" spans="1:20" ht="28.15" hidden="1" customHeight="1" x14ac:dyDescent="0.2">
      <c r="A56" s="181"/>
      <c r="B56" s="200">
        <v>129</v>
      </c>
      <c r="C56" s="2">
        <v>11</v>
      </c>
      <c r="D56" s="3" t="s">
        <v>307</v>
      </c>
      <c r="E56" s="3" t="s">
        <v>306</v>
      </c>
      <c r="F56" s="2">
        <v>154</v>
      </c>
      <c r="G56" s="2">
        <v>11</v>
      </c>
      <c r="H56" s="3" t="s">
        <v>303</v>
      </c>
      <c r="I56" s="192" t="s">
        <v>302</v>
      </c>
      <c r="J56" s="191">
        <v>1567</v>
      </c>
      <c r="K56" s="189">
        <v>14</v>
      </c>
      <c r="L56" s="189" t="s">
        <v>305</v>
      </c>
      <c r="M56" s="189" t="s">
        <v>304</v>
      </c>
      <c r="N56" s="189">
        <v>1631</v>
      </c>
      <c r="O56" s="189">
        <v>14</v>
      </c>
      <c r="P56" s="189" t="s">
        <v>301</v>
      </c>
      <c r="Q56" s="189" t="s">
        <v>300</v>
      </c>
      <c r="R56" s="98"/>
      <c r="S56" s="10"/>
      <c r="T56" s="163"/>
    </row>
    <row r="57" spans="1:20" ht="28.15" hidden="1" customHeight="1" x14ac:dyDescent="0.2">
      <c r="A57" s="181"/>
      <c r="B57" s="200">
        <v>154</v>
      </c>
      <c r="C57" s="2">
        <v>11</v>
      </c>
      <c r="D57" s="3" t="s">
        <v>303</v>
      </c>
      <c r="E57" s="3" t="s">
        <v>302</v>
      </c>
      <c r="F57" s="61">
        <v>175</v>
      </c>
      <c r="G57" s="61">
        <v>12</v>
      </c>
      <c r="H57" s="3" t="s">
        <v>299</v>
      </c>
      <c r="I57" s="192" t="s">
        <v>298</v>
      </c>
      <c r="J57" s="191">
        <v>1631</v>
      </c>
      <c r="K57" s="189">
        <v>14</v>
      </c>
      <c r="L57" s="189" t="s">
        <v>301</v>
      </c>
      <c r="M57" s="189" t="s">
        <v>300</v>
      </c>
      <c r="N57" s="189">
        <v>1815</v>
      </c>
      <c r="O57" s="189">
        <v>14</v>
      </c>
      <c r="P57" s="189" t="s">
        <v>297</v>
      </c>
      <c r="Q57" s="189" t="s">
        <v>296</v>
      </c>
      <c r="R57" s="98"/>
      <c r="S57" s="10"/>
      <c r="T57" s="163"/>
    </row>
    <row r="58" spans="1:20" ht="28.15" hidden="1" customHeight="1" x14ac:dyDescent="0.2">
      <c r="A58" s="197"/>
      <c r="B58" s="195">
        <v>175</v>
      </c>
      <c r="C58" s="61">
        <v>12</v>
      </c>
      <c r="D58" s="3" t="s">
        <v>299</v>
      </c>
      <c r="E58" s="3" t="s">
        <v>298</v>
      </c>
      <c r="F58" s="199">
        <v>204</v>
      </c>
      <c r="G58" s="61">
        <v>12</v>
      </c>
      <c r="H58" s="3" t="s">
        <v>295</v>
      </c>
      <c r="I58" s="192" t="s">
        <v>294</v>
      </c>
      <c r="J58" s="191">
        <v>1815</v>
      </c>
      <c r="K58" s="189">
        <v>14</v>
      </c>
      <c r="L58" s="189" t="s">
        <v>297</v>
      </c>
      <c r="M58" s="189" t="s">
        <v>296</v>
      </c>
      <c r="N58" s="189">
        <v>2001</v>
      </c>
      <c r="O58" s="189">
        <v>15</v>
      </c>
      <c r="P58" s="189" t="s">
        <v>293</v>
      </c>
      <c r="Q58" s="189" t="s">
        <v>292</v>
      </c>
      <c r="R58" s="98"/>
      <c r="S58" s="10"/>
      <c r="T58" s="163"/>
    </row>
    <row r="59" spans="1:20" ht="28.15" hidden="1" customHeight="1" x14ac:dyDescent="0.2">
      <c r="A59" s="197"/>
      <c r="B59" s="198">
        <v>204</v>
      </c>
      <c r="C59" s="61">
        <v>12</v>
      </c>
      <c r="D59" s="3" t="s">
        <v>295</v>
      </c>
      <c r="E59" s="3" t="s">
        <v>294</v>
      </c>
      <c r="F59" s="61">
        <v>241</v>
      </c>
      <c r="G59" s="61">
        <v>12</v>
      </c>
      <c r="H59" s="3" t="s">
        <v>291</v>
      </c>
      <c r="I59" s="192" t="s">
        <v>290</v>
      </c>
      <c r="J59" s="191">
        <v>2001</v>
      </c>
      <c r="K59" s="189">
        <v>15</v>
      </c>
      <c r="L59" s="189" t="s">
        <v>293</v>
      </c>
      <c r="M59" s="189" t="s">
        <v>292</v>
      </c>
      <c r="N59" s="189">
        <v>2044</v>
      </c>
      <c r="O59" s="189">
        <v>16</v>
      </c>
      <c r="P59" s="189" t="s">
        <v>289</v>
      </c>
      <c r="Q59" s="189" t="s">
        <v>288</v>
      </c>
      <c r="R59" s="98"/>
      <c r="S59" s="10"/>
      <c r="T59" s="163"/>
    </row>
    <row r="60" spans="1:20" ht="28.15" hidden="1" customHeight="1" x14ac:dyDescent="0.2">
      <c r="A60" s="197"/>
      <c r="B60" s="195">
        <v>241</v>
      </c>
      <c r="C60" s="61">
        <v>12</v>
      </c>
      <c r="D60" s="3" t="s">
        <v>291</v>
      </c>
      <c r="E60" s="3" t="s">
        <v>290</v>
      </c>
      <c r="F60" s="61">
        <v>279</v>
      </c>
      <c r="G60" s="61">
        <v>12</v>
      </c>
      <c r="H60" s="3" t="s">
        <v>287</v>
      </c>
      <c r="I60" s="192" t="s">
        <v>286</v>
      </c>
      <c r="J60" s="191">
        <v>2044</v>
      </c>
      <c r="K60" s="189">
        <v>16</v>
      </c>
      <c r="L60" s="189" t="s">
        <v>289</v>
      </c>
      <c r="M60" s="189" t="s">
        <v>288</v>
      </c>
      <c r="N60" s="189">
        <v>2171</v>
      </c>
      <c r="O60" s="189">
        <v>16</v>
      </c>
      <c r="P60" s="189" t="s">
        <v>285</v>
      </c>
      <c r="Q60" s="189" t="s">
        <v>284</v>
      </c>
      <c r="R60" s="98"/>
      <c r="S60" s="10"/>
      <c r="T60" s="163"/>
    </row>
    <row r="61" spans="1:20" ht="28.15" hidden="1" customHeight="1" x14ac:dyDescent="0.2">
      <c r="A61" s="196"/>
      <c r="B61" s="195">
        <v>279</v>
      </c>
      <c r="C61" s="61">
        <v>12</v>
      </c>
      <c r="D61" s="3" t="s">
        <v>287</v>
      </c>
      <c r="E61" s="3" t="s">
        <v>286</v>
      </c>
      <c r="F61" s="61">
        <v>320</v>
      </c>
      <c r="G61" s="61">
        <v>13</v>
      </c>
      <c r="H61" s="3" t="s">
        <v>283</v>
      </c>
      <c r="I61" s="192" t="s">
        <v>282</v>
      </c>
      <c r="J61" s="191">
        <v>2171</v>
      </c>
      <c r="K61" s="189">
        <v>16</v>
      </c>
      <c r="L61" s="189" t="s">
        <v>285</v>
      </c>
      <c r="M61" s="189" t="s">
        <v>284</v>
      </c>
      <c r="N61" s="189">
        <v>2271</v>
      </c>
      <c r="O61" s="189">
        <v>17</v>
      </c>
      <c r="P61" s="189" t="s">
        <v>281</v>
      </c>
      <c r="Q61" s="189" t="s">
        <v>280</v>
      </c>
      <c r="R61" s="98"/>
      <c r="S61" s="10"/>
      <c r="T61" s="163"/>
    </row>
    <row r="62" spans="1:20" ht="28.15" hidden="1" customHeight="1" x14ac:dyDescent="0.2">
      <c r="A62" s="181"/>
      <c r="B62" s="195">
        <v>320</v>
      </c>
      <c r="C62" s="61">
        <v>13</v>
      </c>
      <c r="D62" s="3" t="s">
        <v>283</v>
      </c>
      <c r="E62" s="3" t="s">
        <v>282</v>
      </c>
      <c r="F62" s="61">
        <v>350</v>
      </c>
      <c r="G62" s="61">
        <v>13</v>
      </c>
      <c r="H62" s="3" t="s">
        <v>279</v>
      </c>
      <c r="I62" s="192" t="s">
        <v>278</v>
      </c>
      <c r="J62" s="191">
        <v>2271</v>
      </c>
      <c r="K62" s="189">
        <v>17</v>
      </c>
      <c r="L62" s="189" t="s">
        <v>281</v>
      </c>
      <c r="M62" s="189" t="s">
        <v>280</v>
      </c>
      <c r="N62" s="189">
        <v>2380</v>
      </c>
      <c r="O62" s="189">
        <v>17</v>
      </c>
      <c r="P62" s="189" t="s">
        <v>277</v>
      </c>
      <c r="Q62" s="189" t="s">
        <v>276</v>
      </c>
      <c r="R62" s="98"/>
      <c r="S62" s="10"/>
      <c r="T62" s="163"/>
    </row>
    <row r="63" spans="1:20" ht="28.15" hidden="1" customHeight="1" x14ac:dyDescent="0.2">
      <c r="A63" s="181"/>
      <c r="B63" s="195">
        <v>350</v>
      </c>
      <c r="C63" s="61">
        <v>13</v>
      </c>
      <c r="D63" s="3" t="s">
        <v>279</v>
      </c>
      <c r="E63" s="3" t="s">
        <v>278</v>
      </c>
      <c r="F63" s="61">
        <v>400</v>
      </c>
      <c r="G63" s="61">
        <v>13</v>
      </c>
      <c r="H63" s="3" t="s">
        <v>275</v>
      </c>
      <c r="I63" s="192" t="s">
        <v>274</v>
      </c>
      <c r="J63" s="191">
        <v>2380</v>
      </c>
      <c r="K63" s="189">
        <v>17</v>
      </c>
      <c r="L63" s="189" t="s">
        <v>277</v>
      </c>
      <c r="M63" s="189" t="s">
        <v>276</v>
      </c>
      <c r="N63" s="189">
        <v>2498</v>
      </c>
      <c r="O63" s="189">
        <v>18</v>
      </c>
      <c r="P63" s="189" t="s">
        <v>273</v>
      </c>
      <c r="Q63" s="189" t="s">
        <v>272</v>
      </c>
      <c r="R63" s="98"/>
      <c r="S63" s="10"/>
      <c r="T63" s="163"/>
    </row>
    <row r="64" spans="1:20" ht="28.15" hidden="1" customHeight="1" x14ac:dyDescent="0.2">
      <c r="A64" s="181"/>
      <c r="B64" s="195">
        <v>400</v>
      </c>
      <c r="C64" s="61">
        <v>13</v>
      </c>
      <c r="D64" s="3" t="s">
        <v>275</v>
      </c>
      <c r="E64" s="3" t="s">
        <v>274</v>
      </c>
      <c r="F64" s="61">
        <v>477</v>
      </c>
      <c r="G64" s="61">
        <v>14</v>
      </c>
      <c r="H64" s="3" t="s">
        <v>271</v>
      </c>
      <c r="I64" s="192" t="s">
        <v>270</v>
      </c>
      <c r="J64" s="191">
        <v>2498</v>
      </c>
      <c r="K64" s="189">
        <v>18</v>
      </c>
      <c r="L64" s="189" t="s">
        <v>273</v>
      </c>
      <c r="M64" s="189" t="s">
        <v>272</v>
      </c>
      <c r="N64" s="189">
        <v>2639</v>
      </c>
      <c r="O64" s="189">
        <v>18</v>
      </c>
      <c r="P64" s="189" t="s">
        <v>269</v>
      </c>
      <c r="Q64" s="189" t="s">
        <v>268</v>
      </c>
      <c r="R64" s="98"/>
      <c r="S64" s="10"/>
      <c r="T64" s="163"/>
    </row>
    <row r="65" spans="1:20" ht="28.15" hidden="1" customHeight="1" x14ac:dyDescent="0.2">
      <c r="A65" s="181"/>
      <c r="B65" s="195">
        <v>477</v>
      </c>
      <c r="C65" s="61">
        <v>14</v>
      </c>
      <c r="D65" s="3" t="s">
        <v>271</v>
      </c>
      <c r="E65" s="3" t="s">
        <v>270</v>
      </c>
      <c r="F65" s="61">
        <v>545</v>
      </c>
      <c r="G65" s="61">
        <v>14</v>
      </c>
      <c r="H65" s="3" t="s">
        <v>267</v>
      </c>
      <c r="I65" s="192" t="s">
        <v>266</v>
      </c>
      <c r="J65" s="191">
        <v>2639</v>
      </c>
      <c r="K65" s="189">
        <v>18</v>
      </c>
      <c r="L65" s="189" t="s">
        <v>269</v>
      </c>
      <c r="M65" s="189" t="s">
        <v>268</v>
      </c>
      <c r="N65" s="189">
        <v>2871</v>
      </c>
      <c r="O65" s="189">
        <v>19</v>
      </c>
      <c r="P65" s="189" t="s">
        <v>265</v>
      </c>
      <c r="Q65" s="189" t="s">
        <v>264</v>
      </c>
      <c r="R65" s="98"/>
      <c r="S65" s="10"/>
      <c r="T65" s="163"/>
    </row>
    <row r="66" spans="1:20" ht="28.15" hidden="1" customHeight="1" x14ac:dyDescent="0.2">
      <c r="A66" s="181"/>
      <c r="B66" s="195">
        <v>545</v>
      </c>
      <c r="C66" s="61">
        <v>14</v>
      </c>
      <c r="D66" s="3" t="s">
        <v>267</v>
      </c>
      <c r="E66" s="3" t="s">
        <v>266</v>
      </c>
      <c r="F66" s="61">
        <v>615</v>
      </c>
      <c r="G66" s="61">
        <v>14</v>
      </c>
      <c r="H66" s="3" t="s">
        <v>263</v>
      </c>
      <c r="I66" s="192" t="s">
        <v>262</v>
      </c>
      <c r="J66" s="191">
        <v>2871</v>
      </c>
      <c r="K66" s="189">
        <v>19</v>
      </c>
      <c r="L66" s="189" t="s">
        <v>265</v>
      </c>
      <c r="M66" s="189" t="s">
        <v>264</v>
      </c>
      <c r="N66" s="189">
        <v>3191</v>
      </c>
      <c r="O66" s="189">
        <v>21</v>
      </c>
      <c r="P66" s="189" t="s">
        <v>261</v>
      </c>
      <c r="Q66" s="189" t="s">
        <v>260</v>
      </c>
      <c r="R66" s="98"/>
      <c r="S66" s="10"/>
      <c r="T66" s="163"/>
    </row>
    <row r="67" spans="1:20" ht="28.15" hidden="1" customHeight="1" x14ac:dyDescent="0.2">
      <c r="A67" s="181"/>
      <c r="B67" s="195">
        <v>615</v>
      </c>
      <c r="C67" s="61">
        <v>14</v>
      </c>
      <c r="D67" s="3" t="s">
        <v>263</v>
      </c>
      <c r="E67" s="3" t="s">
        <v>262</v>
      </c>
      <c r="F67" s="61">
        <v>670</v>
      </c>
      <c r="G67" s="61">
        <v>14</v>
      </c>
      <c r="H67" s="3" t="s">
        <v>259</v>
      </c>
      <c r="I67" s="192" t="s">
        <v>258</v>
      </c>
      <c r="J67" s="191">
        <v>3191</v>
      </c>
      <c r="K67" s="189">
        <v>21</v>
      </c>
      <c r="L67" s="189" t="s">
        <v>261</v>
      </c>
      <c r="M67" s="189" t="s">
        <v>260</v>
      </c>
      <c r="N67" s="189">
        <v>3407</v>
      </c>
      <c r="O67" s="189">
        <v>22</v>
      </c>
      <c r="P67" s="189" t="s">
        <v>257</v>
      </c>
      <c r="Q67" s="189" t="s">
        <v>256</v>
      </c>
      <c r="R67" s="98"/>
      <c r="S67" s="10"/>
      <c r="T67" s="163"/>
    </row>
    <row r="68" spans="1:20" ht="28.15" hidden="1" customHeight="1" x14ac:dyDescent="0.2">
      <c r="A68" s="181"/>
      <c r="B68" s="195">
        <v>670</v>
      </c>
      <c r="C68" s="61">
        <v>14</v>
      </c>
      <c r="D68" s="3" t="s">
        <v>259</v>
      </c>
      <c r="E68" s="3" t="s">
        <v>258</v>
      </c>
      <c r="F68" s="61">
        <v>736</v>
      </c>
      <c r="G68" s="61">
        <v>14</v>
      </c>
      <c r="H68" s="3" t="s">
        <v>255</v>
      </c>
      <c r="I68" s="192" t="s">
        <v>254</v>
      </c>
      <c r="J68" s="191">
        <v>3407</v>
      </c>
      <c r="K68" s="189">
        <v>22</v>
      </c>
      <c r="L68" s="189" t="s">
        <v>257</v>
      </c>
      <c r="M68" s="189" t="s">
        <v>256</v>
      </c>
      <c r="N68" s="189">
        <v>3486</v>
      </c>
      <c r="O68" s="189">
        <v>22</v>
      </c>
      <c r="P68" s="189" t="s">
        <v>253</v>
      </c>
      <c r="Q68" s="189" t="s">
        <v>252</v>
      </c>
      <c r="R68" s="98"/>
      <c r="S68" s="10"/>
      <c r="T68" s="163"/>
    </row>
    <row r="69" spans="1:20" ht="28.15" hidden="1" customHeight="1" x14ac:dyDescent="0.2">
      <c r="A69" s="181"/>
      <c r="B69" s="195">
        <v>736</v>
      </c>
      <c r="C69" s="61">
        <v>14</v>
      </c>
      <c r="D69" s="3" t="s">
        <v>255</v>
      </c>
      <c r="E69" s="3" t="s">
        <v>254</v>
      </c>
      <c r="F69" s="61">
        <v>799</v>
      </c>
      <c r="G69" s="61">
        <v>16</v>
      </c>
      <c r="H69" s="3" t="s">
        <v>251</v>
      </c>
      <c r="I69" s="192" t="s">
        <v>250</v>
      </c>
      <c r="J69" s="191">
        <v>3486</v>
      </c>
      <c r="K69" s="189">
        <v>22</v>
      </c>
      <c r="L69" s="189" t="s">
        <v>253</v>
      </c>
      <c r="M69" s="189" t="s">
        <v>252</v>
      </c>
      <c r="N69" s="189">
        <v>3634</v>
      </c>
      <c r="O69" s="189">
        <v>20</v>
      </c>
      <c r="P69" s="189" t="s">
        <v>249</v>
      </c>
      <c r="Q69" s="189" t="s">
        <v>248</v>
      </c>
      <c r="R69" s="98"/>
      <c r="S69" s="10"/>
      <c r="T69" s="163"/>
    </row>
    <row r="70" spans="1:20" ht="28.15" hidden="1" customHeight="1" x14ac:dyDescent="0.2">
      <c r="A70" s="181"/>
      <c r="B70" s="195">
        <v>799</v>
      </c>
      <c r="C70" s="61">
        <v>16</v>
      </c>
      <c r="D70" s="3" t="s">
        <v>251</v>
      </c>
      <c r="E70" s="3" t="s">
        <v>250</v>
      </c>
      <c r="F70" s="61">
        <v>870</v>
      </c>
      <c r="G70" s="61">
        <v>19</v>
      </c>
      <c r="H70" s="3" t="s">
        <v>247</v>
      </c>
      <c r="I70" s="192" t="s">
        <v>246</v>
      </c>
      <c r="J70" s="191">
        <v>3634</v>
      </c>
      <c r="K70" s="189">
        <v>20</v>
      </c>
      <c r="L70" s="189" t="s">
        <v>249</v>
      </c>
      <c r="M70" s="189" t="s">
        <v>248</v>
      </c>
      <c r="N70" s="189">
        <v>3681</v>
      </c>
      <c r="O70" s="189">
        <v>21</v>
      </c>
      <c r="P70" s="189" t="s">
        <v>245</v>
      </c>
      <c r="Q70" s="189" t="s">
        <v>244</v>
      </c>
      <c r="R70" s="98"/>
      <c r="S70" s="10"/>
      <c r="T70" s="163"/>
    </row>
    <row r="71" spans="1:20" ht="28.15" hidden="1" customHeight="1" x14ac:dyDescent="0.2">
      <c r="A71" s="181"/>
      <c r="B71" s="195">
        <v>870</v>
      </c>
      <c r="C71" s="61">
        <v>19</v>
      </c>
      <c r="D71" s="3" t="s">
        <v>247</v>
      </c>
      <c r="E71" s="3" t="s">
        <v>246</v>
      </c>
      <c r="F71" s="61">
        <v>936</v>
      </c>
      <c r="G71" s="61">
        <v>21</v>
      </c>
      <c r="H71" s="3" t="s">
        <v>243</v>
      </c>
      <c r="I71" s="192" t="s">
        <v>242</v>
      </c>
      <c r="J71" s="191">
        <v>3681</v>
      </c>
      <c r="K71" s="189">
        <v>21</v>
      </c>
      <c r="L71" s="189" t="s">
        <v>245</v>
      </c>
      <c r="M71" s="189" t="s">
        <v>244</v>
      </c>
      <c r="N71" s="189">
        <v>4088</v>
      </c>
      <c r="O71" s="189">
        <v>21</v>
      </c>
      <c r="P71" s="189" t="s">
        <v>241</v>
      </c>
      <c r="Q71" s="189" t="s">
        <v>240</v>
      </c>
      <c r="R71" s="98"/>
      <c r="S71" s="10"/>
      <c r="T71" s="163"/>
    </row>
    <row r="72" spans="1:20" ht="28.15" hidden="1" customHeight="1" x14ac:dyDescent="0.2">
      <c r="A72" s="181"/>
      <c r="B72" s="195">
        <v>936</v>
      </c>
      <c r="C72" s="61">
        <v>21</v>
      </c>
      <c r="D72" s="3" t="s">
        <v>243</v>
      </c>
      <c r="E72" s="3" t="s">
        <v>242</v>
      </c>
      <c r="F72" s="61">
        <v>1020</v>
      </c>
      <c r="G72" s="61">
        <v>22</v>
      </c>
      <c r="H72" s="3" t="s">
        <v>239</v>
      </c>
      <c r="I72" s="192" t="s">
        <v>238</v>
      </c>
      <c r="J72" s="191">
        <v>4088</v>
      </c>
      <c r="K72" s="189">
        <v>21</v>
      </c>
      <c r="L72" s="189" t="s">
        <v>241</v>
      </c>
      <c r="M72" s="189" t="s">
        <v>240</v>
      </c>
      <c r="N72" s="189">
        <v>4315</v>
      </c>
      <c r="O72" s="189">
        <v>21</v>
      </c>
      <c r="P72" s="189" t="s">
        <v>237</v>
      </c>
      <c r="Q72" s="189" t="s">
        <v>236</v>
      </c>
      <c r="R72" s="98"/>
      <c r="S72" s="10"/>
      <c r="T72" s="163"/>
    </row>
    <row r="73" spans="1:20" ht="28.15" hidden="1" customHeight="1" x14ac:dyDescent="0.2">
      <c r="A73" s="181"/>
      <c r="B73" s="195">
        <v>1020</v>
      </c>
      <c r="C73" s="61">
        <v>22</v>
      </c>
      <c r="D73" s="3" t="s">
        <v>239</v>
      </c>
      <c r="E73" s="3" t="s">
        <v>238</v>
      </c>
      <c r="F73" s="61">
        <v>1081</v>
      </c>
      <c r="G73" s="61">
        <v>22</v>
      </c>
      <c r="H73" s="3" t="s">
        <v>235</v>
      </c>
      <c r="I73" s="192" t="s">
        <v>234</v>
      </c>
      <c r="J73" s="191">
        <v>4315</v>
      </c>
      <c r="K73" s="189">
        <v>21</v>
      </c>
      <c r="L73" s="189" t="s">
        <v>237</v>
      </c>
      <c r="M73" s="189" t="s">
        <v>236</v>
      </c>
      <c r="N73" s="189">
        <v>4542</v>
      </c>
      <c r="O73" s="189">
        <v>22</v>
      </c>
      <c r="P73" s="189" t="s">
        <v>233</v>
      </c>
      <c r="Q73" s="189" t="s">
        <v>232</v>
      </c>
      <c r="R73" s="98"/>
      <c r="S73" s="10"/>
      <c r="T73" s="163"/>
    </row>
    <row r="74" spans="1:20" ht="28.15" hidden="1" customHeight="1" x14ac:dyDescent="0.2">
      <c r="A74" s="181"/>
      <c r="B74" s="195">
        <v>1081</v>
      </c>
      <c r="C74" s="61">
        <v>22</v>
      </c>
      <c r="D74" s="3" t="s">
        <v>235</v>
      </c>
      <c r="E74" s="3" t="s">
        <v>234</v>
      </c>
      <c r="F74" s="61">
        <v>1195</v>
      </c>
      <c r="G74" s="61">
        <v>22</v>
      </c>
      <c r="H74" s="3" t="s">
        <v>231</v>
      </c>
      <c r="I74" s="192" t="s">
        <v>230</v>
      </c>
      <c r="J74" s="191">
        <v>4542</v>
      </c>
      <c r="K74" s="189">
        <v>22</v>
      </c>
      <c r="L74" s="189" t="s">
        <v>233</v>
      </c>
      <c r="M74" s="189" t="s">
        <v>232</v>
      </c>
      <c r="N74" s="189">
        <v>4769</v>
      </c>
      <c r="O74" s="189">
        <v>22</v>
      </c>
      <c r="P74" s="189" t="s">
        <v>229</v>
      </c>
      <c r="Q74" s="189" t="s">
        <v>228</v>
      </c>
      <c r="R74" s="98"/>
      <c r="S74" s="10"/>
      <c r="T74" s="163"/>
    </row>
    <row r="75" spans="1:20" ht="28.15" hidden="1" customHeight="1" x14ac:dyDescent="0.2">
      <c r="A75" s="181"/>
      <c r="B75" s="195">
        <v>1195</v>
      </c>
      <c r="C75" s="61">
        <v>22</v>
      </c>
      <c r="D75" s="3" t="s">
        <v>231</v>
      </c>
      <c r="E75" s="3" t="s">
        <v>230</v>
      </c>
      <c r="F75" s="61">
        <v>1335</v>
      </c>
      <c r="G75" s="61">
        <v>23</v>
      </c>
      <c r="H75" s="3" t="s">
        <v>227</v>
      </c>
      <c r="I75" s="192" t="s">
        <v>226</v>
      </c>
      <c r="J75" s="191">
        <v>4769</v>
      </c>
      <c r="K75" s="189">
        <v>22</v>
      </c>
      <c r="L75" s="189" t="s">
        <v>229</v>
      </c>
      <c r="M75" s="189" t="s">
        <v>228</v>
      </c>
      <c r="N75" s="189">
        <v>4996</v>
      </c>
      <c r="O75" s="189">
        <v>23</v>
      </c>
      <c r="P75" s="189" t="s">
        <v>225</v>
      </c>
      <c r="Q75" s="189" t="s">
        <v>224</v>
      </c>
      <c r="R75" s="98"/>
      <c r="S75" s="10"/>
      <c r="T75" s="163"/>
    </row>
    <row r="76" spans="1:20" ht="28.15" hidden="1" customHeight="1" x14ac:dyDescent="0.2">
      <c r="A76" s="181"/>
      <c r="B76" s="195">
        <v>1335</v>
      </c>
      <c r="C76" s="61">
        <v>23</v>
      </c>
      <c r="D76" s="3" t="s">
        <v>227</v>
      </c>
      <c r="E76" s="3" t="s">
        <v>226</v>
      </c>
      <c r="F76" s="61">
        <v>1483</v>
      </c>
      <c r="G76" s="61">
        <v>23</v>
      </c>
      <c r="H76" s="3" t="s">
        <v>223</v>
      </c>
      <c r="I76" s="192" t="s">
        <v>222</v>
      </c>
      <c r="J76" s="191">
        <v>4996</v>
      </c>
      <c r="K76" s="189">
        <v>23</v>
      </c>
      <c r="L76" s="189" t="s">
        <v>225</v>
      </c>
      <c r="M76" s="189" t="s">
        <v>224</v>
      </c>
      <c r="N76" s="189">
        <v>5450</v>
      </c>
      <c r="O76" s="189">
        <v>24</v>
      </c>
      <c r="P76" s="189" t="s">
        <v>221</v>
      </c>
      <c r="Q76" s="189" t="s">
        <v>220</v>
      </c>
      <c r="R76" s="98"/>
      <c r="S76" s="10"/>
      <c r="T76" s="163"/>
    </row>
    <row r="77" spans="1:20" ht="28.15" hidden="1" customHeight="1" x14ac:dyDescent="0.2">
      <c r="A77" s="181"/>
      <c r="B77" s="195">
        <v>1483</v>
      </c>
      <c r="C77" s="61">
        <v>23</v>
      </c>
      <c r="D77" s="3" t="s">
        <v>223</v>
      </c>
      <c r="E77" s="3" t="s">
        <v>222</v>
      </c>
      <c r="F77" s="61">
        <v>1581</v>
      </c>
      <c r="G77" s="61">
        <v>23</v>
      </c>
      <c r="H77" s="3" t="s">
        <v>219</v>
      </c>
      <c r="I77" s="192" t="s">
        <v>218</v>
      </c>
      <c r="J77" s="191">
        <v>5450</v>
      </c>
      <c r="K77" s="189">
        <v>24</v>
      </c>
      <c r="L77" s="189" t="s">
        <v>221</v>
      </c>
      <c r="M77" s="189" t="s">
        <v>220</v>
      </c>
      <c r="N77" s="189">
        <v>5905</v>
      </c>
      <c r="O77" s="189">
        <v>25</v>
      </c>
      <c r="P77" s="189" t="s">
        <v>217</v>
      </c>
      <c r="Q77" s="189" t="s">
        <v>216</v>
      </c>
      <c r="R77" s="98"/>
      <c r="S77" s="10"/>
      <c r="T77" s="163"/>
    </row>
    <row r="78" spans="1:20" ht="28.15" hidden="1" customHeight="1" x14ac:dyDescent="0.2">
      <c r="A78" s="181"/>
      <c r="B78" s="195">
        <v>1581</v>
      </c>
      <c r="C78" s="61">
        <v>23</v>
      </c>
      <c r="D78" s="3" t="s">
        <v>219</v>
      </c>
      <c r="E78" s="3" t="s">
        <v>218</v>
      </c>
      <c r="F78" s="61">
        <v>1774</v>
      </c>
      <c r="G78" s="61">
        <v>24</v>
      </c>
      <c r="H78" s="3" t="s">
        <v>215</v>
      </c>
      <c r="I78" s="192" t="s">
        <v>214</v>
      </c>
      <c r="J78" s="191">
        <v>5905</v>
      </c>
      <c r="K78" s="189">
        <v>25</v>
      </c>
      <c r="L78" s="189" t="s">
        <v>217</v>
      </c>
      <c r="M78" s="189" t="s">
        <v>216</v>
      </c>
      <c r="N78" s="189">
        <v>6539</v>
      </c>
      <c r="O78" s="189">
        <v>26</v>
      </c>
      <c r="P78" s="189" t="s">
        <v>213</v>
      </c>
      <c r="Q78" s="189" t="s">
        <v>212</v>
      </c>
      <c r="R78" s="98"/>
      <c r="S78" s="10"/>
      <c r="T78" s="163"/>
    </row>
    <row r="79" spans="1:20" ht="28.15" hidden="1" customHeight="1" x14ac:dyDescent="0.2">
      <c r="A79" s="181"/>
      <c r="B79" s="195">
        <v>1774</v>
      </c>
      <c r="C79" s="61">
        <v>24</v>
      </c>
      <c r="D79" s="3" t="s">
        <v>215</v>
      </c>
      <c r="E79" s="3" t="s">
        <v>214</v>
      </c>
      <c r="F79" s="61">
        <v>1883</v>
      </c>
      <c r="G79" s="61">
        <v>24</v>
      </c>
      <c r="H79" s="3" t="s">
        <v>211</v>
      </c>
      <c r="I79" s="192" t="s">
        <v>210</v>
      </c>
      <c r="J79" s="191">
        <v>6539</v>
      </c>
      <c r="K79" s="189">
        <v>26</v>
      </c>
      <c r="L79" s="189" t="s">
        <v>213</v>
      </c>
      <c r="M79" s="189" t="s">
        <v>212</v>
      </c>
      <c r="N79" s="189">
        <v>6831</v>
      </c>
      <c r="O79" s="189">
        <v>27</v>
      </c>
      <c r="P79" s="189" t="s">
        <v>209</v>
      </c>
      <c r="Q79" s="189" t="s">
        <v>208</v>
      </c>
      <c r="R79" s="98"/>
      <c r="S79" s="10"/>
      <c r="T79" s="163"/>
    </row>
    <row r="80" spans="1:20" ht="28.15" hidden="1" customHeight="1" x14ac:dyDescent="0.2">
      <c r="A80" s="181"/>
      <c r="B80" s="195">
        <v>1883</v>
      </c>
      <c r="C80" s="61">
        <v>24</v>
      </c>
      <c r="D80" s="3" t="s">
        <v>211</v>
      </c>
      <c r="E80" s="3" t="s">
        <v>210</v>
      </c>
      <c r="F80" s="61">
        <v>2080</v>
      </c>
      <c r="G80" s="61">
        <v>25</v>
      </c>
      <c r="H80" s="3" t="s">
        <v>207</v>
      </c>
      <c r="I80" s="192" t="s">
        <v>206</v>
      </c>
      <c r="J80" s="191">
        <v>6831</v>
      </c>
      <c r="K80" s="189">
        <v>27</v>
      </c>
      <c r="L80" s="189" t="s">
        <v>209</v>
      </c>
      <c r="M80" s="189" t="s">
        <v>208</v>
      </c>
      <c r="N80" s="189">
        <v>7267</v>
      </c>
      <c r="O80" s="189">
        <v>28</v>
      </c>
      <c r="P80" s="189" t="s">
        <v>205</v>
      </c>
      <c r="Q80" s="189" t="s">
        <v>204</v>
      </c>
      <c r="R80" s="98"/>
      <c r="S80" s="10"/>
      <c r="T80" s="163"/>
    </row>
    <row r="81" spans="1:20" ht="28.15" hidden="1" customHeight="1" x14ac:dyDescent="0.2">
      <c r="A81" s="181"/>
      <c r="B81" s="195">
        <v>2080</v>
      </c>
      <c r="C81" s="61">
        <v>25</v>
      </c>
      <c r="D81" s="3" t="s">
        <v>207</v>
      </c>
      <c r="E81" s="3" t="s">
        <v>206</v>
      </c>
      <c r="F81" s="61">
        <v>2251</v>
      </c>
      <c r="G81" s="61">
        <v>26</v>
      </c>
      <c r="H81" s="3" t="s">
        <v>203</v>
      </c>
      <c r="I81" s="192" t="s">
        <v>202</v>
      </c>
      <c r="J81" s="191">
        <v>7267</v>
      </c>
      <c r="K81" s="189">
        <v>28</v>
      </c>
      <c r="L81" s="189" t="s">
        <v>205</v>
      </c>
      <c r="M81" s="189" t="s">
        <v>204</v>
      </c>
      <c r="N81" s="189">
        <v>7721</v>
      </c>
      <c r="O81" s="189">
        <v>30</v>
      </c>
      <c r="P81" s="189" t="s">
        <v>201</v>
      </c>
      <c r="Q81" s="189" t="s">
        <v>200</v>
      </c>
      <c r="R81" s="98"/>
      <c r="S81" s="10"/>
      <c r="T81" s="163"/>
    </row>
    <row r="82" spans="1:20" ht="28.15" hidden="1" customHeight="1" x14ac:dyDescent="0.2">
      <c r="A82" s="181"/>
      <c r="B82" s="195">
        <v>2251</v>
      </c>
      <c r="C82" s="61">
        <v>26</v>
      </c>
      <c r="D82" s="3" t="s">
        <v>203</v>
      </c>
      <c r="E82" s="3" t="s">
        <v>202</v>
      </c>
      <c r="F82" s="61">
        <v>2319</v>
      </c>
      <c r="G82" s="61">
        <v>27</v>
      </c>
      <c r="H82" s="3" t="s">
        <v>199</v>
      </c>
      <c r="I82" s="192" t="s">
        <v>198</v>
      </c>
      <c r="J82" s="191">
        <v>7721</v>
      </c>
      <c r="K82" s="189">
        <v>30</v>
      </c>
      <c r="L82" s="189" t="s">
        <v>201</v>
      </c>
      <c r="M82" s="189" t="s">
        <v>200</v>
      </c>
      <c r="N82" s="189">
        <v>8176</v>
      </c>
      <c r="O82" s="189">
        <v>31</v>
      </c>
      <c r="P82" s="189" t="s">
        <v>197</v>
      </c>
      <c r="Q82" s="189" t="s">
        <v>196</v>
      </c>
      <c r="R82" s="98"/>
      <c r="S82" s="10"/>
      <c r="T82" s="163"/>
    </row>
    <row r="83" spans="1:20" ht="28.15" hidden="1" customHeight="1" x14ac:dyDescent="0.2">
      <c r="A83" s="181"/>
      <c r="B83" s="195">
        <v>2319</v>
      </c>
      <c r="C83" s="61">
        <v>27</v>
      </c>
      <c r="D83" s="3" t="s">
        <v>199</v>
      </c>
      <c r="E83" s="3" t="s">
        <v>198</v>
      </c>
      <c r="F83" s="61">
        <v>2448</v>
      </c>
      <c r="G83" s="61">
        <v>28</v>
      </c>
      <c r="H83" s="3" t="s">
        <v>195</v>
      </c>
      <c r="I83" s="192" t="s">
        <v>194</v>
      </c>
      <c r="J83" s="191">
        <v>8176</v>
      </c>
      <c r="K83" s="189">
        <v>31</v>
      </c>
      <c r="L83" s="189" t="s">
        <v>197</v>
      </c>
      <c r="M83" s="189" t="s">
        <v>196</v>
      </c>
      <c r="N83" s="189">
        <v>8630</v>
      </c>
      <c r="O83" s="189">
        <v>33</v>
      </c>
      <c r="P83" s="189" t="s">
        <v>193</v>
      </c>
      <c r="Q83" s="189" t="s">
        <v>192</v>
      </c>
      <c r="R83" s="98"/>
      <c r="S83" s="10"/>
      <c r="T83" s="163"/>
    </row>
    <row r="84" spans="1:20" ht="28.15" hidden="1" customHeight="1" thickBot="1" x14ac:dyDescent="0.25">
      <c r="A84" s="181"/>
      <c r="B84" s="194">
        <v>2448</v>
      </c>
      <c r="C84" s="89">
        <v>28</v>
      </c>
      <c r="D84" s="193" t="s">
        <v>195</v>
      </c>
      <c r="E84" s="193" t="s">
        <v>194</v>
      </c>
      <c r="F84" s="61">
        <v>2448</v>
      </c>
      <c r="G84" s="61">
        <v>28</v>
      </c>
      <c r="H84" s="3" t="s">
        <v>195</v>
      </c>
      <c r="I84" s="192" t="s">
        <v>194</v>
      </c>
      <c r="J84" s="191">
        <v>8630</v>
      </c>
      <c r="K84" s="189">
        <v>33</v>
      </c>
      <c r="L84" s="189" t="s">
        <v>193</v>
      </c>
      <c r="M84" s="189" t="s">
        <v>192</v>
      </c>
      <c r="N84" s="189">
        <v>9084</v>
      </c>
      <c r="O84" s="189">
        <v>34</v>
      </c>
      <c r="P84" s="189" t="s">
        <v>191</v>
      </c>
      <c r="Q84" s="189" t="s">
        <v>190</v>
      </c>
      <c r="R84" s="98"/>
      <c r="S84" s="10"/>
      <c r="T84" s="163"/>
    </row>
    <row r="85" spans="1:20" ht="28.15" hidden="1" customHeight="1" x14ac:dyDescent="0.2">
      <c r="A85" s="181"/>
      <c r="B85" s="10"/>
      <c r="C85" s="10"/>
      <c r="D85" s="10"/>
      <c r="E85" s="10"/>
      <c r="F85" s="10"/>
      <c r="G85" s="10"/>
      <c r="H85" s="10"/>
      <c r="I85" s="10"/>
      <c r="J85" s="191">
        <v>9084</v>
      </c>
      <c r="K85" s="189">
        <v>34</v>
      </c>
      <c r="L85" s="189" t="s">
        <v>191</v>
      </c>
      <c r="M85" s="189" t="s">
        <v>190</v>
      </c>
      <c r="N85" s="189">
        <v>9538</v>
      </c>
      <c r="O85" s="189">
        <v>36</v>
      </c>
      <c r="P85" s="189" t="s">
        <v>189</v>
      </c>
      <c r="Q85" s="189" t="s">
        <v>188</v>
      </c>
      <c r="R85" s="98"/>
      <c r="S85" s="10"/>
      <c r="T85" s="163"/>
    </row>
    <row r="86" spans="1:20" ht="28.15" hidden="1" customHeight="1" x14ac:dyDescent="0.2">
      <c r="A86" s="181"/>
      <c r="B86" s="10"/>
      <c r="C86" s="10"/>
      <c r="D86" s="10"/>
      <c r="E86" s="10"/>
      <c r="F86" s="10"/>
      <c r="G86" s="10"/>
      <c r="H86" s="10"/>
      <c r="I86" s="10"/>
      <c r="J86" s="191">
        <v>9538</v>
      </c>
      <c r="K86" s="189">
        <v>36</v>
      </c>
      <c r="L86" s="189" t="s">
        <v>189</v>
      </c>
      <c r="M86" s="189" t="s">
        <v>188</v>
      </c>
      <c r="N86" s="189">
        <v>9990</v>
      </c>
      <c r="O86" s="189">
        <v>38</v>
      </c>
      <c r="P86" s="189" t="s">
        <v>187</v>
      </c>
      <c r="Q86" s="189" t="s">
        <v>186</v>
      </c>
      <c r="R86" s="98"/>
      <c r="S86" s="10"/>
      <c r="T86" s="163"/>
    </row>
    <row r="87" spans="1:20" ht="28.15" hidden="1" customHeight="1" x14ac:dyDescent="0.2">
      <c r="A87" s="181"/>
      <c r="B87" s="10"/>
      <c r="C87" s="10"/>
      <c r="D87" s="10"/>
      <c r="E87" s="10"/>
      <c r="F87" s="10"/>
      <c r="G87" s="10"/>
      <c r="H87" s="10"/>
      <c r="I87" s="10"/>
      <c r="J87" s="191">
        <v>9990</v>
      </c>
      <c r="K87" s="189">
        <v>38</v>
      </c>
      <c r="L87" s="189" t="s">
        <v>187</v>
      </c>
      <c r="M87" s="189" t="s">
        <v>186</v>
      </c>
      <c r="N87" s="189">
        <v>10445</v>
      </c>
      <c r="O87" s="189">
        <v>40</v>
      </c>
      <c r="P87" s="189" t="s">
        <v>185</v>
      </c>
      <c r="Q87" s="189" t="s">
        <v>184</v>
      </c>
      <c r="R87" s="98"/>
      <c r="S87" s="10"/>
      <c r="T87" s="163"/>
    </row>
    <row r="88" spans="1:20" ht="28.15" hidden="1" customHeight="1" x14ac:dyDescent="0.2">
      <c r="A88" s="181"/>
      <c r="B88" s="10"/>
      <c r="C88" s="10"/>
      <c r="D88" s="10"/>
      <c r="E88" s="10"/>
      <c r="F88" s="10"/>
      <c r="G88" s="10"/>
      <c r="H88" s="10"/>
      <c r="I88" s="10"/>
      <c r="J88" s="191">
        <v>10445</v>
      </c>
      <c r="K88" s="189">
        <v>40</v>
      </c>
      <c r="L88" s="189" t="s">
        <v>185</v>
      </c>
      <c r="M88" s="189" t="s">
        <v>184</v>
      </c>
      <c r="N88" s="189">
        <v>10900</v>
      </c>
      <c r="O88" s="189">
        <v>42</v>
      </c>
      <c r="P88" s="189" t="s">
        <v>183</v>
      </c>
      <c r="Q88" s="189" t="s">
        <v>182</v>
      </c>
      <c r="R88" s="98"/>
      <c r="S88" s="10"/>
      <c r="T88" s="163"/>
    </row>
    <row r="89" spans="1:20" ht="28.15" hidden="1" customHeight="1" thickBot="1" x14ac:dyDescent="0.25">
      <c r="A89" s="181"/>
      <c r="B89" s="10"/>
      <c r="C89" s="10"/>
      <c r="D89" s="10"/>
      <c r="E89" s="10"/>
      <c r="F89" s="10"/>
      <c r="G89" s="10"/>
      <c r="H89" s="10"/>
      <c r="I89" s="10"/>
      <c r="J89" s="191">
        <v>10900</v>
      </c>
      <c r="K89" s="189">
        <v>42</v>
      </c>
      <c r="L89" s="189" t="s">
        <v>183</v>
      </c>
      <c r="M89" s="189" t="s">
        <v>182</v>
      </c>
      <c r="N89" s="189">
        <v>11355</v>
      </c>
      <c r="O89" s="189">
        <v>44</v>
      </c>
      <c r="P89" s="188" t="s">
        <v>181</v>
      </c>
      <c r="Q89" s="188" t="s">
        <v>180</v>
      </c>
      <c r="R89" s="98"/>
      <c r="S89" s="10"/>
      <c r="T89" s="163"/>
    </row>
    <row r="90" spans="1:20" ht="28.15" hidden="1" customHeight="1" thickBot="1" x14ac:dyDescent="0.25">
      <c r="A90" s="181"/>
      <c r="B90" s="10"/>
      <c r="C90" s="10"/>
      <c r="D90" s="10"/>
      <c r="E90" s="10"/>
      <c r="F90" s="10"/>
      <c r="G90" s="10"/>
      <c r="H90" s="10"/>
      <c r="I90" s="10"/>
      <c r="J90" s="190">
        <v>11355</v>
      </c>
      <c r="K90" s="188">
        <v>44</v>
      </c>
      <c r="L90" s="188" t="s">
        <v>181</v>
      </c>
      <c r="M90" s="188" t="s">
        <v>180</v>
      </c>
      <c r="N90" s="189">
        <v>11355</v>
      </c>
      <c r="O90" s="189">
        <v>44</v>
      </c>
      <c r="P90" s="188" t="s">
        <v>181</v>
      </c>
      <c r="Q90" s="188" t="s">
        <v>180</v>
      </c>
      <c r="R90" s="98"/>
      <c r="S90" s="10"/>
      <c r="T90" s="163"/>
    </row>
    <row r="91" spans="1:20" ht="28.15" hidden="1" customHeight="1" thickBot="1" x14ac:dyDescent="0.25">
      <c r="A91" s="181"/>
      <c r="B91" s="37"/>
      <c r="C91" s="10"/>
      <c r="D91" s="75"/>
      <c r="E91" s="75"/>
      <c r="F91" s="187"/>
      <c r="G91" s="186"/>
      <c r="H91" s="75"/>
      <c r="I91" s="98"/>
      <c r="J91" s="98"/>
      <c r="K91" s="98"/>
      <c r="L91" s="98"/>
      <c r="M91" s="10"/>
      <c r="N91" s="10"/>
      <c r="O91" s="10"/>
      <c r="P91" s="98"/>
      <c r="Q91" s="98"/>
      <c r="R91" s="98"/>
      <c r="S91" s="10"/>
      <c r="T91" s="163"/>
    </row>
    <row r="92" spans="1:20" ht="28.15" hidden="1" customHeight="1" x14ac:dyDescent="0.2">
      <c r="A92" s="181"/>
      <c r="B92" s="37"/>
      <c r="C92" s="786"/>
      <c r="D92" s="787"/>
      <c r="E92" s="787"/>
      <c r="F92" s="799"/>
      <c r="G92" s="27"/>
      <c r="H92" s="786"/>
      <c r="I92" s="787"/>
      <c r="J92" s="787"/>
      <c r="K92" s="799"/>
      <c r="L92" s="10"/>
      <c r="M92" s="10"/>
      <c r="N92" s="10"/>
      <c r="O92" s="10"/>
      <c r="P92" s="98"/>
      <c r="Q92" s="98"/>
      <c r="R92" s="98"/>
      <c r="S92" s="10"/>
      <c r="T92" s="163"/>
    </row>
    <row r="93" spans="1:20" ht="13.5" hidden="1" thickTop="1" x14ac:dyDescent="0.2">
      <c r="A93" s="181"/>
      <c r="B93" s="26"/>
      <c r="C93" s="183"/>
      <c r="D93" s="182"/>
      <c r="E93" s="794"/>
      <c r="F93" s="795"/>
      <c r="G93" s="98"/>
      <c r="H93" s="183"/>
      <c r="I93" s="182"/>
      <c r="J93" s="794"/>
      <c r="K93" s="795"/>
      <c r="L93" s="10"/>
      <c r="M93" s="10"/>
      <c r="N93" s="10"/>
      <c r="O93" s="10"/>
      <c r="P93" s="98"/>
      <c r="Q93" s="98"/>
      <c r="R93" s="98"/>
      <c r="S93" s="10"/>
      <c r="T93" s="163"/>
    </row>
    <row r="94" spans="1:20" ht="13.5" hidden="1" thickTop="1" x14ac:dyDescent="0.2">
      <c r="A94" s="181"/>
      <c r="B94" s="180"/>
      <c r="C94" s="179"/>
      <c r="D94" s="103"/>
      <c r="E94" s="142"/>
      <c r="F94" s="178"/>
      <c r="G94" s="10"/>
      <c r="H94" s="179"/>
      <c r="I94" s="103"/>
      <c r="J94" s="142"/>
      <c r="K94" s="178"/>
      <c r="L94" s="10"/>
      <c r="M94" s="10"/>
      <c r="N94" s="10"/>
      <c r="O94" s="10"/>
      <c r="P94" s="98"/>
      <c r="Q94" s="98"/>
      <c r="R94" s="98"/>
      <c r="S94" s="10"/>
      <c r="T94" s="163"/>
    </row>
    <row r="95" spans="1:20" ht="13.5" hidden="1" thickTop="1" x14ac:dyDescent="0.2">
      <c r="A95" s="164"/>
      <c r="B95" s="37"/>
      <c r="C95" s="177"/>
      <c r="D95" s="176"/>
      <c r="E95" s="175"/>
      <c r="F95" s="174"/>
      <c r="G95" s="172"/>
      <c r="H95" s="177"/>
      <c r="I95" s="176"/>
      <c r="J95" s="175"/>
      <c r="K95" s="174"/>
      <c r="L95" s="10"/>
      <c r="M95" s="10"/>
      <c r="N95" s="10"/>
      <c r="O95" s="10"/>
      <c r="P95" s="98"/>
      <c r="Q95" s="98"/>
      <c r="R95" s="98"/>
      <c r="S95" s="10"/>
      <c r="T95" s="163"/>
    </row>
    <row r="96" spans="1:20" ht="14.25" hidden="1" thickTop="1" thickBot="1" x14ac:dyDescent="0.25">
      <c r="A96" s="164"/>
      <c r="B96" s="37"/>
      <c r="C96" s="173"/>
      <c r="D96" s="170"/>
      <c r="E96" s="169"/>
      <c r="F96" s="168"/>
      <c r="G96" s="172"/>
      <c r="H96" s="171"/>
      <c r="I96" s="170"/>
      <c r="J96" s="169"/>
      <c r="K96" s="168"/>
      <c r="L96" s="10"/>
      <c r="M96" s="10"/>
      <c r="N96" s="10"/>
      <c r="O96" s="10"/>
      <c r="P96" s="98"/>
      <c r="Q96" s="98"/>
      <c r="R96" s="98"/>
      <c r="S96" s="10"/>
      <c r="T96" s="163"/>
    </row>
    <row r="97" spans="1:20" ht="13.5" hidden="1" thickTop="1" x14ac:dyDescent="0.2">
      <c r="A97" s="164"/>
      <c r="B97" s="27"/>
      <c r="C97" s="165"/>
      <c r="D97" s="165"/>
      <c r="E97" s="165"/>
      <c r="F97" s="167"/>
      <c r="G97" s="166"/>
      <c r="H97" s="165"/>
      <c r="I97" s="98"/>
      <c r="J97" s="98"/>
      <c r="K97" s="98"/>
      <c r="L97" s="10"/>
      <c r="M97" s="10"/>
      <c r="N97" s="10"/>
      <c r="O97" s="10"/>
      <c r="P97" s="10"/>
      <c r="Q97" s="10"/>
      <c r="R97" s="10"/>
      <c r="S97" s="10"/>
      <c r="T97" s="163"/>
    </row>
    <row r="98" spans="1:20" ht="13.5" hidden="1" thickTop="1" x14ac:dyDescent="0.2">
      <c r="A98" s="164"/>
      <c r="B98" s="162"/>
      <c r="C98" s="162"/>
      <c r="D98" s="10"/>
      <c r="E98" s="10"/>
      <c r="F98" s="162"/>
      <c r="G98" s="162"/>
      <c r="H98" s="162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63"/>
    </row>
    <row r="99" spans="1:20" ht="13.5" thickTop="1" x14ac:dyDescent="0.2">
      <c r="A99" s="162"/>
      <c r="B99" s="162"/>
      <c r="C99" s="162"/>
      <c r="D99" s="161"/>
      <c r="E99" s="161"/>
      <c r="F99" s="162"/>
      <c r="G99" s="162"/>
      <c r="H99" s="162"/>
      <c r="I99" s="161"/>
      <c r="J99" s="161"/>
      <c r="K99" s="10"/>
      <c r="L99" s="10"/>
      <c r="M99" s="10"/>
      <c r="N99" s="10"/>
      <c r="O99" s="10"/>
      <c r="P99" s="10"/>
      <c r="Q99" s="10"/>
      <c r="R99" s="10"/>
      <c r="S99" s="10"/>
      <c r="T99" s="163"/>
    </row>
    <row r="100" spans="1:20" x14ac:dyDescent="0.2">
      <c r="A100" s="162"/>
      <c r="B100" s="162"/>
      <c r="C100" s="162"/>
      <c r="D100" s="161"/>
      <c r="E100" s="161"/>
      <c r="F100" s="162"/>
      <c r="G100" s="162"/>
      <c r="H100" s="162"/>
      <c r="I100" s="161"/>
      <c r="J100" s="161"/>
      <c r="K100" s="10"/>
      <c r="L100" s="10"/>
      <c r="M100" s="10"/>
      <c r="N100" s="10"/>
      <c r="O100" s="10"/>
      <c r="P100" s="10"/>
      <c r="Q100" s="10"/>
      <c r="R100" s="10"/>
      <c r="S100" s="10"/>
      <c r="T100" s="163"/>
    </row>
    <row r="101" spans="1:20" x14ac:dyDescent="0.2">
      <c r="A101" s="162"/>
      <c r="B101" s="162"/>
      <c r="C101" s="162"/>
      <c r="D101" s="161"/>
      <c r="E101" s="161"/>
      <c r="F101" s="162"/>
      <c r="G101" s="162"/>
      <c r="H101" s="162"/>
      <c r="I101" s="161"/>
      <c r="J101" s="161"/>
      <c r="K101" s="10"/>
      <c r="L101" s="10"/>
      <c r="M101" s="10"/>
      <c r="N101" s="10"/>
      <c r="O101" s="10"/>
      <c r="P101" s="10"/>
      <c r="Q101" s="10"/>
      <c r="R101" s="10"/>
      <c r="S101" s="10"/>
      <c r="T101" s="163"/>
    </row>
    <row r="102" spans="1:20" ht="13.5" thickBot="1" x14ac:dyDescent="0.25">
      <c r="A102" s="10"/>
      <c r="B102" s="10"/>
      <c r="C102" s="10"/>
      <c r="D102" s="10"/>
      <c r="E102" s="10"/>
      <c r="F102" s="162"/>
      <c r="G102" s="162"/>
      <c r="H102" s="162"/>
      <c r="I102" s="161"/>
      <c r="J102" s="161"/>
      <c r="K102" s="10"/>
      <c r="L102" s="10"/>
      <c r="M102" s="10"/>
      <c r="N102" s="10"/>
      <c r="O102" s="10"/>
      <c r="P102" s="160"/>
      <c r="Q102" s="160"/>
      <c r="R102" s="160"/>
      <c r="S102" s="160"/>
      <c r="T102" s="159"/>
    </row>
    <row r="103" spans="1:2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20" x14ac:dyDescent="0.2">
      <c r="A104" s="10"/>
      <c r="B104" s="158"/>
      <c r="C104" s="10"/>
      <c r="D104" s="10"/>
      <c r="E104" s="10"/>
      <c r="F104" s="10"/>
      <c r="G104" s="10"/>
      <c r="H104" s="10"/>
      <c r="I104" s="10"/>
      <c r="J104" s="157"/>
      <c r="K104" s="10"/>
      <c r="L104" s="10"/>
      <c r="M104" s="10"/>
      <c r="N104" s="10"/>
      <c r="O104" s="10"/>
    </row>
    <row r="105" spans="1:2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20" x14ac:dyDescent="0.2">
      <c r="A106" s="10"/>
      <c r="B106" s="158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2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57"/>
      <c r="N107" s="10"/>
      <c r="O107" s="10"/>
    </row>
    <row r="108" spans="1:2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20" x14ac:dyDescent="0.2">
      <c r="A109" s="10"/>
      <c r="B109" s="157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2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2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2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2">
      <c r="A113" s="10"/>
      <c r="B113" s="157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">
      <c r="A115" s="10"/>
      <c r="B115" s="157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</sheetData>
  <sheetProtection sheet="1" objects="1" scenarios="1"/>
  <mergeCells count="28">
    <mergeCell ref="B44:E44"/>
    <mergeCell ref="F44:I44"/>
    <mergeCell ref="J44:M44"/>
    <mergeCell ref="N44:Q44"/>
    <mergeCell ref="E93:F93"/>
    <mergeCell ref="J93:K93"/>
    <mergeCell ref="D45:E45"/>
    <mergeCell ref="H45:I45"/>
    <mergeCell ref="L45:M45"/>
    <mergeCell ref="P45:Q45"/>
    <mergeCell ref="C92:F92"/>
    <mergeCell ref="H92:K92"/>
    <mergeCell ref="B29:C29"/>
    <mergeCell ref="D29:G29"/>
    <mergeCell ref="H29:K29"/>
    <mergeCell ref="L29:N29"/>
    <mergeCell ref="B43:I43"/>
    <mergeCell ref="J43:Q43"/>
    <mergeCell ref="Q12:T12"/>
    <mergeCell ref="V12:Y12"/>
    <mergeCell ref="S13:T13"/>
    <mergeCell ref="X13:Y13"/>
    <mergeCell ref="B15:C15"/>
    <mergeCell ref="A1:L1"/>
    <mergeCell ref="A2:N2"/>
    <mergeCell ref="H11:I11"/>
    <mergeCell ref="J11:K11"/>
    <mergeCell ref="L11:M11"/>
  </mergeCells>
  <pageMargins left="0.19685039370078741" right="0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8"/>
  <sheetViews>
    <sheetView showGridLines="0" zoomScaleNormal="100" workbookViewId="0">
      <selection activeCell="Q126" sqref="Q126"/>
    </sheetView>
  </sheetViews>
  <sheetFormatPr defaultColWidth="11.42578125" defaultRowHeight="12.75" x14ac:dyDescent="0.2"/>
  <cols>
    <col min="1" max="1" width="8.28515625" customWidth="1"/>
    <col min="2" max="2" width="11.7109375" customWidth="1"/>
    <col min="3" max="3" width="9.7109375" customWidth="1"/>
    <col min="4" max="4" width="8.28515625" customWidth="1"/>
    <col min="5" max="5" width="10.42578125" customWidth="1"/>
    <col min="6" max="8" width="9.7109375" customWidth="1"/>
    <col min="9" max="9" width="8.140625" customWidth="1"/>
    <col min="10" max="10" width="8.7109375" customWidth="1"/>
    <col min="11" max="11" width="8.42578125" customWidth="1"/>
    <col min="12" max="12" width="9.7109375" customWidth="1"/>
    <col min="13" max="13" width="6.5703125" customWidth="1"/>
    <col min="14" max="14" width="4.7109375" hidden="1" customWidth="1"/>
    <col min="15" max="15" width="9.7109375" customWidth="1"/>
    <col min="16" max="17" width="8.7109375" customWidth="1"/>
    <col min="18" max="18" width="9.7109375" customWidth="1"/>
    <col min="19" max="19" width="8.7109375" customWidth="1"/>
    <col min="20" max="20" width="8.7109375" style="128" customWidth="1"/>
    <col min="21" max="21" width="8.7109375" customWidth="1"/>
    <col min="22" max="28" width="11.42578125" customWidth="1"/>
    <col min="29" max="29" width="12.85546875" bestFit="1" customWidth="1"/>
  </cols>
  <sheetData>
    <row r="1" spans="1:44" ht="21" thickTop="1" x14ac:dyDescent="0.3">
      <c r="A1" s="300"/>
      <c r="B1" s="720" t="s">
        <v>429</v>
      </c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530"/>
      <c r="R1" s="402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98"/>
      <c r="AJ1" s="98"/>
      <c r="AK1" s="98"/>
      <c r="AL1" s="98"/>
      <c r="AM1" s="98"/>
      <c r="AN1" s="98"/>
      <c r="AO1" s="98"/>
      <c r="AP1" s="98"/>
      <c r="AQ1" s="98"/>
      <c r="AR1" s="98"/>
    </row>
    <row r="2" spans="1:44" ht="20.25" customHeight="1" thickBot="1" x14ac:dyDescent="0.35">
      <c r="A2" s="725" t="s">
        <v>551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7"/>
      <c r="S2" s="404"/>
    </row>
    <row r="3" spans="1:44" ht="14.25" hidden="1" thickTop="1" thickBot="1" x14ac:dyDescent="0.25">
      <c r="A3" s="26"/>
      <c r="B3" s="10"/>
      <c r="C3" s="10"/>
      <c r="D3" s="21"/>
      <c r="E3" s="21"/>
      <c r="F3" s="21"/>
      <c r="G3" s="21"/>
      <c r="H3" s="21"/>
      <c r="I3" s="281"/>
      <c r="J3" s="186"/>
      <c r="K3" s="255"/>
      <c r="L3" s="405"/>
      <c r="M3" s="98"/>
      <c r="N3" s="98"/>
      <c r="O3" s="98"/>
      <c r="P3" s="98"/>
      <c r="Q3" s="98"/>
      <c r="R3" s="25"/>
    </row>
    <row r="4" spans="1:44" ht="14.25" thickTop="1" thickBot="1" x14ac:dyDescent="0.25">
      <c r="A4" s="26"/>
      <c r="B4" s="406"/>
      <c r="C4" s="10"/>
      <c r="D4" s="21" t="s">
        <v>25</v>
      </c>
      <c r="E4" s="21"/>
      <c r="F4" s="407" t="s">
        <v>557</v>
      </c>
      <c r="G4" s="408"/>
      <c r="H4" s="409"/>
      <c r="I4" s="410" t="s">
        <v>394</v>
      </c>
      <c r="J4" s="411" t="s">
        <v>386</v>
      </c>
      <c r="K4" s="409" t="s">
        <v>556</v>
      </c>
      <c r="L4" s="409" t="s">
        <v>342</v>
      </c>
      <c r="M4" s="412" t="s">
        <v>394</v>
      </c>
      <c r="N4" s="413"/>
      <c r="O4" s="409" t="s">
        <v>556</v>
      </c>
      <c r="P4" s="409" t="s">
        <v>541</v>
      </c>
      <c r="Q4" s="412" t="s">
        <v>394</v>
      </c>
      <c r="R4" s="414" t="s">
        <v>542</v>
      </c>
    </row>
    <row r="5" spans="1:44" ht="13.5" thickBot="1" x14ac:dyDescent="0.25">
      <c r="A5" s="100"/>
      <c r="B5" s="415" t="s">
        <v>120</v>
      </c>
      <c r="C5" s="416"/>
      <c r="D5" s="537">
        <v>175.32</v>
      </c>
      <c r="E5" s="27" t="s">
        <v>430</v>
      </c>
      <c r="F5" s="417" t="s">
        <v>540</v>
      </c>
      <c r="G5" s="418"/>
      <c r="H5" s="419"/>
      <c r="I5" s="420" t="s">
        <v>431</v>
      </c>
      <c r="J5" s="421" t="s">
        <v>376</v>
      </c>
      <c r="K5" s="422" t="s">
        <v>558</v>
      </c>
      <c r="L5" s="422"/>
      <c r="M5" s="423"/>
      <c r="N5" s="424"/>
      <c r="O5" s="422" t="s">
        <v>559</v>
      </c>
      <c r="P5" s="422"/>
      <c r="Q5" s="423"/>
      <c r="R5" s="425"/>
      <c r="S5" s="186"/>
      <c r="T5" s="426"/>
      <c r="V5" s="427"/>
    </row>
    <row r="6" spans="1:44" x14ac:dyDescent="0.2">
      <c r="A6" s="156"/>
      <c r="B6" s="21"/>
      <c r="C6" s="165"/>
      <c r="D6" s="165"/>
      <c r="E6" s="428"/>
      <c r="F6" s="429" t="s">
        <v>543</v>
      </c>
      <c r="G6" s="430"/>
      <c r="H6" s="431"/>
      <c r="I6" s="432">
        <f>((VLOOKUP(($D$14),$A$30:$Q$44,9)))</f>
        <v>175.5</v>
      </c>
      <c r="J6" s="433">
        <f>((VLOOKUP(($D$14),$A$30:$Q$44,10)))</f>
        <v>23</v>
      </c>
      <c r="K6" s="434">
        <f>((VLOOKUP(($D$14),$A$30:$Q$44,11)))</f>
        <v>13</v>
      </c>
      <c r="L6" s="434" t="str">
        <f>((VLOOKUP(($D$14),$A$30:$Q$44,12)))</f>
        <v>52-55292</v>
      </c>
      <c r="M6" s="435">
        <f>((VLOOKUP(($D$14),$A$30:$Q$44,13)))</f>
        <v>12.5</v>
      </c>
      <c r="N6" s="433"/>
      <c r="O6" s="434">
        <f>((VLOOKUP(($D$14),$A$30:$Q$44,14)))</f>
        <v>2</v>
      </c>
      <c r="P6" s="434" t="str">
        <f>((VLOOKUP(($D$14),$A$30:$Q$44,16)))</f>
        <v>52-55243</v>
      </c>
      <c r="Q6" s="435">
        <f>((VLOOKUP(($D$14),$A$30:$Q$44,17)))</f>
        <v>6.5</v>
      </c>
      <c r="R6" s="436">
        <f>((VLOOKUP(($D$14),$A$30:$R$44,18)))</f>
        <v>1.0266940451746365E-3</v>
      </c>
    </row>
    <row r="7" spans="1:44" x14ac:dyDescent="0.2">
      <c r="A7" s="156"/>
      <c r="B7" s="406" t="s">
        <v>552</v>
      </c>
      <c r="C7" s="165"/>
      <c r="D7" s="165"/>
      <c r="E7" s="428"/>
      <c r="F7" s="437"/>
      <c r="G7" s="438"/>
      <c r="H7" s="438"/>
      <c r="I7" s="438"/>
      <c r="J7" s="437"/>
      <c r="K7" s="438"/>
      <c r="L7" s="438"/>
      <c r="M7" s="439"/>
      <c r="N7" s="437"/>
      <c r="O7" s="438"/>
      <c r="P7" s="438"/>
      <c r="Q7" s="439"/>
      <c r="R7" s="439"/>
      <c r="S7" s="98"/>
      <c r="T7" s="313"/>
      <c r="U7" s="98"/>
      <c r="V7" s="98"/>
      <c r="W7" s="98"/>
      <c r="X7" s="98"/>
      <c r="Y7" s="98"/>
      <c r="Z7" s="98"/>
    </row>
    <row r="8" spans="1:44" ht="13.5" thickBot="1" x14ac:dyDescent="0.25">
      <c r="A8" s="156"/>
      <c r="B8" s="406" t="s">
        <v>432</v>
      </c>
      <c r="C8" s="75"/>
      <c r="D8" s="75"/>
      <c r="E8" s="428"/>
      <c r="F8" s="440" t="s">
        <v>544</v>
      </c>
      <c r="G8" s="441"/>
      <c r="H8" s="442"/>
      <c r="I8" s="443">
        <f>((VLOOKUP(($D$14),$A$30:$Q$44,4)))</f>
        <v>171</v>
      </c>
      <c r="J8" s="444">
        <f>((VLOOKUP(($D$14),$A$30:$Q$44,5)))</f>
        <v>22</v>
      </c>
      <c r="K8" s="445">
        <f>IF($M$8=0,0,I8/M8)</f>
        <v>15</v>
      </c>
      <c r="L8" s="446" t="str">
        <f>((VLOOKUP(($D$14),$A$30:$Q$44,6)))</f>
        <v>52-55287</v>
      </c>
      <c r="M8" s="447">
        <f>((VLOOKUP(($D$14),$A$30:$Q$44,7)))</f>
        <v>11.4</v>
      </c>
      <c r="N8" s="800"/>
      <c r="O8" s="801"/>
      <c r="P8" s="801"/>
      <c r="Q8" s="802"/>
      <c r="R8" s="448">
        <f>((VLOOKUP(($D$14),$A$30:$Q$44,8)))</f>
        <v>-2.4640657084188833E-2</v>
      </c>
      <c r="S8" s="98"/>
      <c r="T8" s="313"/>
      <c r="U8" s="98"/>
      <c r="V8" s="98"/>
      <c r="W8" s="98"/>
      <c r="X8" s="98"/>
      <c r="Y8" s="98"/>
      <c r="Z8" s="98"/>
    </row>
    <row r="9" spans="1:44" ht="13.5" thickTop="1" x14ac:dyDescent="0.2">
      <c r="A9" s="156"/>
      <c r="B9" s="428" t="s">
        <v>553</v>
      </c>
      <c r="C9" s="21"/>
      <c r="D9" s="428"/>
      <c r="E9" s="428"/>
      <c r="F9" s="27"/>
      <c r="G9" s="165"/>
      <c r="H9" s="10"/>
      <c r="I9" s="75"/>
      <c r="J9" s="98"/>
      <c r="K9" s="98"/>
      <c r="L9" s="98"/>
      <c r="M9" s="98"/>
      <c r="N9" s="98"/>
      <c r="O9" s="98"/>
      <c r="P9" s="186"/>
      <c r="Q9" s="98"/>
      <c r="R9" s="272"/>
      <c r="S9" s="98"/>
      <c r="T9" s="313"/>
      <c r="U9" s="98"/>
      <c r="V9" s="98"/>
      <c r="W9" s="98"/>
      <c r="X9" s="98"/>
      <c r="Y9" s="98"/>
      <c r="Z9" s="98"/>
    </row>
    <row r="10" spans="1:44" hidden="1" x14ac:dyDescent="0.2">
      <c r="A10" s="156"/>
      <c r="B10" s="406"/>
      <c r="C10" s="21"/>
      <c r="D10" s="428"/>
      <c r="E10" s="428"/>
      <c r="F10" s="27"/>
      <c r="G10" s="428"/>
      <c r="H10" s="10"/>
      <c r="I10" s="428"/>
      <c r="J10" s="98"/>
      <c r="K10" s="205"/>
      <c r="L10" s="205"/>
      <c r="M10" s="98"/>
      <c r="N10" s="186"/>
      <c r="O10" s="426"/>
      <c r="P10" s="98"/>
      <c r="Q10" s="98"/>
      <c r="R10" s="272"/>
      <c r="S10" s="98"/>
      <c r="T10" s="313"/>
      <c r="U10" s="98"/>
      <c r="V10" s="98"/>
      <c r="W10" s="98"/>
      <c r="X10" s="157"/>
      <c r="Y10" s="10"/>
      <c r="Z10" s="10"/>
    </row>
    <row r="11" spans="1:44" x14ac:dyDescent="0.2">
      <c r="A11" s="156"/>
      <c r="B11" s="428"/>
      <c r="C11" s="21"/>
      <c r="D11" s="428"/>
      <c r="E11" s="428"/>
      <c r="F11" s="27"/>
      <c r="G11" s="165"/>
      <c r="H11" s="10"/>
      <c r="I11" s="428"/>
      <c r="J11" s="98"/>
      <c r="K11" s="98"/>
      <c r="L11" s="98"/>
      <c r="M11" s="98"/>
      <c r="N11" s="186"/>
      <c r="O11" s="426"/>
      <c r="P11" s="98"/>
      <c r="Q11" s="98"/>
      <c r="R11" s="272"/>
      <c r="S11" s="98"/>
      <c r="T11" s="313"/>
      <c r="U11" s="98"/>
      <c r="V11" s="98"/>
      <c r="W11" s="98"/>
      <c r="X11" s="157"/>
      <c r="Y11" s="10"/>
      <c r="Z11" s="10"/>
    </row>
    <row r="12" spans="1:44" x14ac:dyDescent="0.2">
      <c r="A12" s="156"/>
      <c r="B12" s="406"/>
      <c r="C12" s="21"/>
      <c r="D12" s="428"/>
      <c r="E12" s="428"/>
      <c r="F12" s="27"/>
      <c r="G12" s="165"/>
      <c r="H12" s="10"/>
      <c r="I12" s="428"/>
      <c r="J12" s="98"/>
      <c r="K12" s="98"/>
      <c r="L12" s="98"/>
      <c r="M12" s="98"/>
      <c r="N12" s="186"/>
      <c r="O12" s="426"/>
      <c r="P12" s="98"/>
      <c r="Q12" s="98"/>
      <c r="R12" s="272"/>
      <c r="S12" s="98"/>
      <c r="T12" s="313"/>
      <c r="U12" s="98"/>
      <c r="V12" s="98"/>
      <c r="W12" s="98"/>
      <c r="X12" s="157"/>
      <c r="Y12" s="10"/>
      <c r="Z12" s="10"/>
    </row>
    <row r="13" spans="1:44" ht="13.5" thickBot="1" x14ac:dyDescent="0.25">
      <c r="A13" s="156"/>
      <c r="B13" s="428" t="s">
        <v>554</v>
      </c>
      <c r="C13" s="165"/>
      <c r="D13" s="165"/>
      <c r="E13" s="428"/>
      <c r="F13" s="27"/>
      <c r="G13" s="165"/>
      <c r="H13" s="10"/>
      <c r="I13" s="428"/>
      <c r="J13" s="98"/>
      <c r="K13" s="98"/>
      <c r="L13" s="98"/>
      <c r="M13" s="98"/>
      <c r="N13" s="186"/>
      <c r="O13" s="426"/>
      <c r="P13" s="98"/>
      <c r="Q13" s="98"/>
      <c r="R13" s="272"/>
      <c r="S13" s="98"/>
      <c r="T13" s="313"/>
      <c r="U13" s="98"/>
      <c r="V13" s="98"/>
      <c r="W13" s="98"/>
      <c r="X13" s="157"/>
      <c r="Y13" s="10"/>
      <c r="Z13" s="10"/>
    </row>
    <row r="14" spans="1:44" ht="13.5" thickBot="1" x14ac:dyDescent="0.25">
      <c r="A14" s="156"/>
      <c r="B14" s="75" t="s">
        <v>547</v>
      </c>
      <c r="C14" s="75"/>
      <c r="D14" s="536">
        <v>300</v>
      </c>
      <c r="E14" s="428"/>
      <c r="F14" s="27"/>
      <c r="G14" s="165"/>
      <c r="H14" s="10"/>
      <c r="I14" s="428"/>
      <c r="J14" s="98"/>
      <c r="K14" s="98"/>
      <c r="L14" s="98"/>
      <c r="M14" s="98"/>
      <c r="N14" s="186"/>
      <c r="O14" s="426"/>
      <c r="P14" s="98"/>
      <c r="Q14" s="98"/>
      <c r="R14" s="272"/>
      <c r="S14" s="98"/>
      <c r="T14" s="313"/>
      <c r="U14" s="98"/>
      <c r="V14" s="98"/>
      <c r="W14" s="98"/>
      <c r="X14" s="157"/>
      <c r="Y14" s="10"/>
      <c r="Z14" s="10"/>
    </row>
    <row r="15" spans="1:44" ht="13.5" thickBot="1" x14ac:dyDescent="0.25">
      <c r="A15" s="156"/>
      <c r="B15" s="406"/>
      <c r="C15" s="21"/>
      <c r="D15" s="428"/>
      <c r="E15" s="428"/>
      <c r="F15" s="27"/>
      <c r="G15" s="165"/>
      <c r="H15" s="10"/>
      <c r="I15" s="428"/>
      <c r="J15" s="98"/>
      <c r="K15" s="98"/>
      <c r="L15" s="98"/>
      <c r="M15" s="98"/>
      <c r="N15" s="186"/>
      <c r="O15" s="426"/>
      <c r="P15" s="98"/>
      <c r="Q15" s="98"/>
      <c r="R15" s="272"/>
      <c r="S15" s="98"/>
      <c r="T15" s="313"/>
      <c r="U15" s="98"/>
      <c r="V15" s="98"/>
      <c r="W15" s="98"/>
      <c r="X15" s="157"/>
      <c r="Y15" s="10"/>
      <c r="Z15" s="10"/>
    </row>
    <row r="16" spans="1:44" ht="14.25" thickTop="1" thickBot="1" x14ac:dyDescent="0.25">
      <c r="A16" s="156"/>
      <c r="B16" s="406" t="s">
        <v>555</v>
      </c>
      <c r="C16" s="21"/>
      <c r="D16" s="449" t="str">
        <f>VLOOKUP($D$14,$K$64:$L$78,2)</f>
        <v xml:space="preserve">       49-9143-01</v>
      </c>
      <c r="E16" s="450"/>
      <c r="F16" s="27"/>
      <c r="G16" s="165"/>
      <c r="H16" s="10"/>
      <c r="I16" s="428"/>
      <c r="J16" s="98"/>
      <c r="K16" s="98"/>
      <c r="L16" s="98"/>
      <c r="M16" s="98"/>
      <c r="N16" s="186"/>
      <c r="O16" s="426"/>
      <c r="P16" s="98"/>
      <c r="Q16" s="98"/>
      <c r="R16" s="272"/>
      <c r="S16" s="98"/>
      <c r="T16" s="313"/>
      <c r="U16" s="98"/>
      <c r="V16" s="98"/>
      <c r="W16" s="98"/>
      <c r="X16" s="157"/>
      <c r="Y16" s="10"/>
      <c r="Z16" s="10"/>
    </row>
    <row r="17" spans="1:26" ht="13.5" thickTop="1" x14ac:dyDescent="0.2">
      <c r="A17" s="156"/>
      <c r="B17" s="428"/>
      <c r="C17" s="21"/>
      <c r="D17" s="428"/>
      <c r="E17" s="428"/>
      <c r="F17" s="27"/>
      <c r="G17" s="165"/>
      <c r="H17" s="10"/>
      <c r="I17" s="428"/>
      <c r="J17" s="98"/>
      <c r="K17" s="98"/>
      <c r="L17" s="98"/>
      <c r="M17" s="98"/>
      <c r="N17" s="186"/>
      <c r="O17" s="426"/>
      <c r="P17" s="98"/>
      <c r="Q17" s="98"/>
      <c r="R17" s="272"/>
      <c r="S17" s="98"/>
      <c r="T17" s="313"/>
      <c r="U17" s="98"/>
      <c r="V17" s="98"/>
      <c r="W17" s="98"/>
      <c r="X17" s="157"/>
      <c r="Y17" s="10"/>
      <c r="Z17" s="10"/>
    </row>
    <row r="18" spans="1:26" x14ac:dyDescent="0.2">
      <c r="A18" s="156"/>
      <c r="B18" s="428"/>
      <c r="C18" s="21"/>
      <c r="D18" s="428"/>
      <c r="E18" s="428"/>
      <c r="F18" s="27"/>
      <c r="G18" s="165"/>
      <c r="H18" s="10"/>
      <c r="I18" s="428"/>
      <c r="J18" s="98"/>
      <c r="K18" s="98"/>
      <c r="L18" s="98"/>
      <c r="M18" s="98"/>
      <c r="N18" s="186"/>
      <c r="O18" s="426"/>
      <c r="P18" s="98"/>
      <c r="Q18" s="98"/>
      <c r="R18" s="272"/>
      <c r="S18" s="98"/>
      <c r="T18" s="313"/>
      <c r="U18" s="98"/>
      <c r="V18" s="98"/>
      <c r="W18" s="98"/>
      <c r="X18" s="157"/>
      <c r="Y18" s="10"/>
      <c r="Z18" s="10"/>
    </row>
    <row r="19" spans="1:26" x14ac:dyDescent="0.2">
      <c r="A19" s="156"/>
      <c r="B19" s="428"/>
      <c r="C19" s="75"/>
      <c r="D19" s="428"/>
      <c r="E19" s="428"/>
      <c r="F19" s="186"/>
      <c r="G19" s="165"/>
      <c r="H19" s="10"/>
      <c r="I19" s="428"/>
      <c r="J19" s="98"/>
      <c r="K19" s="98"/>
      <c r="L19" s="98"/>
      <c r="M19" s="98"/>
      <c r="N19" s="186"/>
      <c r="O19" s="426"/>
      <c r="P19" s="98"/>
      <c r="Q19" s="98"/>
      <c r="R19" s="272"/>
      <c r="S19" s="98"/>
      <c r="T19" s="313"/>
      <c r="U19" s="98"/>
      <c r="V19" s="98"/>
      <c r="W19" s="98"/>
      <c r="X19" s="157"/>
      <c r="Y19" s="10"/>
      <c r="Z19" s="10"/>
    </row>
    <row r="20" spans="1:26" x14ac:dyDescent="0.2">
      <c r="A20" s="156"/>
      <c r="B20" s="406"/>
      <c r="C20" s="406"/>
      <c r="D20" s="406"/>
      <c r="E20" s="406"/>
      <c r="F20" s="406"/>
      <c r="G20" s="165"/>
      <c r="H20" s="10"/>
      <c r="I20" s="428"/>
      <c r="J20" s="98"/>
      <c r="K20" s="98"/>
      <c r="L20" s="98"/>
      <c r="M20" s="98"/>
      <c r="N20" s="186"/>
      <c r="O20" s="426"/>
      <c r="P20" s="98"/>
      <c r="Q20" s="98"/>
      <c r="R20" s="272"/>
      <c r="S20" s="98"/>
      <c r="T20" s="313"/>
      <c r="U20" s="98"/>
      <c r="V20" s="98"/>
      <c r="W20" s="98"/>
      <c r="X20" s="157"/>
      <c r="Y20" s="10"/>
      <c r="Z20" s="10"/>
    </row>
    <row r="21" spans="1:26" x14ac:dyDescent="0.2">
      <c r="A21" s="156"/>
      <c r="B21" s="406"/>
      <c r="C21" s="406"/>
      <c r="D21" s="406"/>
      <c r="E21" s="406"/>
      <c r="F21" s="406"/>
      <c r="G21" s="165"/>
      <c r="H21" s="10"/>
      <c r="I21" s="428"/>
      <c r="J21" s="98"/>
      <c r="K21" s="98"/>
      <c r="L21" s="98"/>
      <c r="M21" s="98"/>
      <c r="N21" s="186"/>
      <c r="O21" s="426"/>
      <c r="P21" s="98"/>
      <c r="Q21" s="98"/>
      <c r="R21" s="272"/>
      <c r="S21" s="98"/>
      <c r="T21" s="313"/>
      <c r="U21" s="98"/>
      <c r="V21" s="98"/>
      <c r="W21" s="98"/>
      <c r="X21" s="157"/>
      <c r="Y21" s="10"/>
      <c r="Z21" s="10"/>
    </row>
    <row r="22" spans="1:26" x14ac:dyDescent="0.2">
      <c r="A22" s="156"/>
      <c r="B22" s="406"/>
      <c r="C22" s="406"/>
      <c r="D22" s="406"/>
      <c r="E22" s="406"/>
      <c r="F22" s="406"/>
      <c r="G22" s="165"/>
      <c r="H22" s="10"/>
      <c r="I22" s="428"/>
      <c r="J22" s="98"/>
      <c r="K22" s="98"/>
      <c r="L22" s="98"/>
      <c r="M22" s="98"/>
      <c r="N22" s="186"/>
      <c r="O22" s="426"/>
      <c r="P22" s="98"/>
      <c r="Q22" s="98"/>
      <c r="R22" s="272"/>
      <c r="S22" s="98"/>
      <c r="T22" s="313"/>
      <c r="U22" s="98"/>
      <c r="V22" s="98"/>
      <c r="W22" s="98"/>
      <c r="X22" s="157"/>
      <c r="Y22" s="10"/>
      <c r="Z22" s="10"/>
    </row>
    <row r="23" spans="1:26" x14ac:dyDescent="0.2">
      <c r="A23" s="156"/>
      <c r="B23" s="406"/>
      <c r="C23" s="406"/>
      <c r="D23" s="406"/>
      <c r="E23" s="406"/>
      <c r="F23" s="406"/>
      <c r="G23" s="165"/>
      <c r="H23" s="10"/>
      <c r="I23" s="428"/>
      <c r="J23" s="98"/>
      <c r="K23" s="98"/>
      <c r="L23" s="98"/>
      <c r="M23" s="98"/>
      <c r="N23" s="186"/>
      <c r="O23" s="426"/>
      <c r="P23" s="98"/>
      <c r="Q23" s="98"/>
      <c r="R23" s="272"/>
      <c r="S23" s="98"/>
      <c r="T23" s="313"/>
      <c r="U23" s="98"/>
      <c r="V23" s="98"/>
      <c r="W23" s="98"/>
      <c r="X23" s="157"/>
      <c r="Y23" s="10"/>
      <c r="Z23" s="10"/>
    </row>
    <row r="24" spans="1:26" x14ac:dyDescent="0.2">
      <c r="A24" s="156"/>
      <c r="B24" s="21"/>
      <c r="C24" s="21"/>
      <c r="D24" s="428"/>
      <c r="E24" s="428"/>
      <c r="F24" s="27"/>
      <c r="G24" s="165"/>
      <c r="H24" s="10"/>
      <c r="I24" s="428"/>
      <c r="J24" s="98"/>
      <c r="K24" s="98"/>
      <c r="L24" s="98"/>
      <c r="M24" s="98"/>
      <c r="N24" s="98"/>
      <c r="O24" s="98"/>
      <c r="P24" s="98"/>
      <c r="Q24" s="98"/>
      <c r="R24" s="272"/>
      <c r="S24" s="98"/>
      <c r="T24" s="313"/>
      <c r="U24" s="98"/>
      <c r="V24" s="98"/>
      <c r="W24" s="98"/>
      <c r="X24" s="451"/>
      <c r="Y24" s="10"/>
      <c r="Z24" s="10"/>
    </row>
    <row r="25" spans="1:26" hidden="1" x14ac:dyDescent="0.2">
      <c r="A25" s="37"/>
      <c r="B25" s="27"/>
      <c r="C25" s="452"/>
      <c r="D25" s="453" t="s">
        <v>433</v>
      </c>
      <c r="E25" s="453"/>
      <c r="F25" s="453"/>
      <c r="G25" s="453"/>
      <c r="H25" s="453"/>
      <c r="I25" s="453" t="s">
        <v>434</v>
      </c>
      <c r="J25" s="453"/>
      <c r="K25" s="453"/>
      <c r="L25" s="453"/>
      <c r="M25" s="453"/>
      <c r="N25" s="453"/>
      <c r="O25" s="454"/>
      <c r="P25" s="454"/>
      <c r="Q25" s="454"/>
      <c r="R25" s="455"/>
      <c r="S25" s="186"/>
      <c r="T25" s="313"/>
      <c r="U25" s="98"/>
      <c r="V25" s="98"/>
      <c r="W25" s="98"/>
      <c r="X25" s="456"/>
      <c r="Y25" s="10"/>
      <c r="Z25" s="10"/>
    </row>
    <row r="26" spans="1:26" hidden="1" x14ac:dyDescent="0.2">
      <c r="A26" s="156" t="s">
        <v>388</v>
      </c>
      <c r="B26" s="21" t="s">
        <v>435</v>
      </c>
      <c r="C26" s="21" t="s">
        <v>436</v>
      </c>
      <c r="D26" s="453" t="s">
        <v>437</v>
      </c>
      <c r="E26" s="453" t="s">
        <v>438</v>
      </c>
      <c r="F26" s="457" t="s">
        <v>385</v>
      </c>
      <c r="G26" s="457" t="s">
        <v>439</v>
      </c>
      <c r="H26" s="457" t="s">
        <v>440</v>
      </c>
      <c r="I26" s="453" t="s">
        <v>439</v>
      </c>
      <c r="J26" s="453" t="s">
        <v>386</v>
      </c>
      <c r="K26" s="457" t="s">
        <v>436</v>
      </c>
      <c r="L26" s="457" t="s">
        <v>385</v>
      </c>
      <c r="M26" s="457" t="s">
        <v>387</v>
      </c>
      <c r="N26" s="458" t="s">
        <v>441</v>
      </c>
      <c r="O26" s="457" t="s">
        <v>442</v>
      </c>
      <c r="P26" s="457" t="s">
        <v>385</v>
      </c>
      <c r="Q26" s="457" t="s">
        <v>387</v>
      </c>
      <c r="R26" s="459" t="s">
        <v>440</v>
      </c>
      <c r="S26" s="98"/>
      <c r="T26" s="313"/>
      <c r="U26" s="98"/>
      <c r="V26" s="98"/>
      <c r="W26" s="98"/>
      <c r="X26" s="158"/>
      <c r="Y26" s="10"/>
      <c r="Z26" s="10"/>
    </row>
    <row r="27" spans="1:26" hidden="1" x14ac:dyDescent="0.2">
      <c r="A27" s="156" t="s">
        <v>42</v>
      </c>
      <c r="B27" s="21" t="s">
        <v>431</v>
      </c>
      <c r="C27" s="21" t="s">
        <v>443</v>
      </c>
      <c r="D27" s="453" t="s">
        <v>431</v>
      </c>
      <c r="E27" s="453" t="s">
        <v>376</v>
      </c>
      <c r="F27" s="457"/>
      <c r="G27" s="457" t="s">
        <v>431</v>
      </c>
      <c r="H27" s="457" t="s">
        <v>444</v>
      </c>
      <c r="I27" s="453" t="s">
        <v>431</v>
      </c>
      <c r="J27" s="453" t="s">
        <v>376</v>
      </c>
      <c r="K27" s="457" t="s">
        <v>443</v>
      </c>
      <c r="L27" s="457"/>
      <c r="M27" s="457" t="s">
        <v>383</v>
      </c>
      <c r="N27" s="458" t="s">
        <v>445</v>
      </c>
      <c r="O27" s="457" t="s">
        <v>437</v>
      </c>
      <c r="P27" s="457"/>
      <c r="Q27" s="457" t="s">
        <v>383</v>
      </c>
      <c r="R27" s="459" t="s">
        <v>444</v>
      </c>
      <c r="S27" s="98"/>
      <c r="T27" s="313"/>
      <c r="U27" s="460"/>
      <c r="V27" s="98"/>
      <c r="W27" s="98"/>
      <c r="X27" s="10"/>
      <c r="Y27" s="10"/>
      <c r="Z27" s="10"/>
    </row>
    <row r="28" spans="1:26" hidden="1" x14ac:dyDescent="0.2">
      <c r="A28" s="156" t="s">
        <v>377</v>
      </c>
      <c r="B28" s="161"/>
      <c r="C28" s="75"/>
      <c r="D28" s="461" t="s">
        <v>446</v>
      </c>
      <c r="E28" s="453"/>
      <c r="F28" s="457" t="s">
        <v>421</v>
      </c>
      <c r="G28" s="457" t="s">
        <v>421</v>
      </c>
      <c r="H28" s="457"/>
      <c r="I28" s="461" t="s">
        <v>447</v>
      </c>
      <c r="J28" s="453"/>
      <c r="K28" s="457"/>
      <c r="L28" s="457" t="s">
        <v>421</v>
      </c>
      <c r="M28" s="457" t="s">
        <v>448</v>
      </c>
      <c r="N28" s="458"/>
      <c r="O28" s="457" t="s">
        <v>431</v>
      </c>
      <c r="P28" s="457" t="s">
        <v>421</v>
      </c>
      <c r="Q28" s="457" t="s">
        <v>448</v>
      </c>
      <c r="R28" s="459"/>
      <c r="S28" s="98"/>
      <c r="T28" s="313"/>
      <c r="U28" s="460"/>
      <c r="V28" s="98"/>
      <c r="W28" s="98"/>
      <c r="X28" s="158"/>
      <c r="Y28" s="10"/>
      <c r="Z28" s="10"/>
    </row>
    <row r="29" spans="1:26" hidden="1" x14ac:dyDescent="0.2">
      <c r="A29" s="462"/>
      <c r="B29" s="161"/>
      <c r="C29" s="161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463"/>
      <c r="O29" s="75"/>
      <c r="P29" s="98"/>
      <c r="Q29" s="75"/>
      <c r="R29" s="272"/>
      <c r="S29" s="98"/>
      <c r="T29" s="313"/>
      <c r="U29" s="460"/>
      <c r="V29" s="98"/>
      <c r="W29" s="98"/>
      <c r="X29" s="98"/>
      <c r="Y29" s="98"/>
      <c r="Z29" s="98"/>
    </row>
    <row r="30" spans="1:26" hidden="1" x14ac:dyDescent="0.2">
      <c r="A30" s="464">
        <v>50</v>
      </c>
      <c r="B30" s="465" t="s">
        <v>449</v>
      </c>
      <c r="C30" s="466">
        <v>1</v>
      </c>
      <c r="D30" s="467">
        <f t="shared" ref="D30:D44" si="0">IF($D$5/$C30&lt;3.8,D29,VLOOKUP(($D$5/$C30),$D$53:$F$97,1)*$C30)</f>
        <v>45</v>
      </c>
      <c r="E30" s="468">
        <f t="shared" ref="E30:E44" si="1">IF($D$5/$C30&lt;3.8,E29,VLOOKUP(($D$5/$C30),$D$53:$F$97,2))</f>
        <v>49</v>
      </c>
      <c r="F30" s="469" t="str">
        <f t="shared" ref="F30:F44" si="2">IF($D$5/$C30&lt;3.8,F29,VLOOKUP(($D$5/$C30),$D$53:$F$97,3))</f>
        <v>52-66407H</v>
      </c>
      <c r="G30" s="470">
        <f t="shared" ref="G30:G44" si="3">IF($D$5/$C30&lt;3.8,G29,VLOOKUP(($D$5/$C30),$D$53:$F$97,1))</f>
        <v>45</v>
      </c>
      <c r="H30" s="471">
        <f t="shared" ref="H30:H44" si="4">D30/$D$5-1</f>
        <v>-0.74332648870636553</v>
      </c>
      <c r="I30" s="472">
        <f t="shared" ref="I30:I44" si="5">$K30*M30+$N30*Q30</f>
        <v>45</v>
      </c>
      <c r="J30" s="473">
        <f>VLOOKUP(($D$5/$C30),$D$53:$I$97,5)</f>
        <v>49</v>
      </c>
      <c r="K30" s="474">
        <f>C30</f>
        <v>1</v>
      </c>
      <c r="L30" s="474" t="str">
        <f>VLOOKUP(($D$5/$C30),$D$53:$I$97,6)</f>
        <v>52-66407H</v>
      </c>
      <c r="M30" s="475">
        <f>VLOOKUP(($D$5/$C30),$D$53:$I$97,4)</f>
        <v>45</v>
      </c>
      <c r="N30" s="458">
        <v>0</v>
      </c>
      <c r="O30" s="476">
        <f>($D$5-(K30*M30))</f>
        <v>130.32</v>
      </c>
      <c r="P30" s="457">
        <v>0</v>
      </c>
      <c r="Q30" s="477">
        <v>0</v>
      </c>
      <c r="R30" s="478">
        <f t="shared" ref="R30:R44" si="6">I30/$D$5-1</f>
        <v>-0.74332648870636553</v>
      </c>
      <c r="S30" s="98"/>
      <c r="T30" s="460"/>
      <c r="U30" s="460"/>
      <c r="V30" s="98"/>
      <c r="W30" s="98"/>
      <c r="X30" s="98"/>
      <c r="Y30" s="98"/>
      <c r="Z30" s="98"/>
    </row>
    <row r="31" spans="1:26" hidden="1" x14ac:dyDescent="0.2">
      <c r="A31" s="156">
        <v>65</v>
      </c>
      <c r="B31" s="76" t="s">
        <v>449</v>
      </c>
      <c r="C31" s="21">
        <v>1</v>
      </c>
      <c r="D31" s="467">
        <f t="shared" si="0"/>
        <v>45</v>
      </c>
      <c r="E31" s="468">
        <f t="shared" si="1"/>
        <v>49</v>
      </c>
      <c r="F31" s="469" t="str">
        <f t="shared" si="2"/>
        <v>52-66407H</v>
      </c>
      <c r="G31" s="470">
        <f t="shared" si="3"/>
        <v>45</v>
      </c>
      <c r="H31" s="471">
        <f t="shared" si="4"/>
        <v>-0.74332648870636553</v>
      </c>
      <c r="I31" s="472">
        <f t="shared" si="5"/>
        <v>45</v>
      </c>
      <c r="J31" s="473">
        <f>VLOOKUP(($D$5/$C31),$D$53:$I$97,5)</f>
        <v>49</v>
      </c>
      <c r="K31" s="474">
        <f>C31</f>
        <v>1</v>
      </c>
      <c r="L31" s="474" t="str">
        <f>VLOOKUP(($D$5/$C31),$D$53:$I$97,6)</f>
        <v>52-66407H</v>
      </c>
      <c r="M31" s="475">
        <f>VLOOKUP(($D$5/$C31),$D$53:$I$97,4)</f>
        <v>45</v>
      </c>
      <c r="N31" s="458">
        <v>0</v>
      </c>
      <c r="O31" s="476">
        <f>($D$5-(K31*M31))</f>
        <v>130.32</v>
      </c>
      <c r="P31" s="457">
        <v>0</v>
      </c>
      <c r="Q31" s="477">
        <v>0</v>
      </c>
      <c r="R31" s="478">
        <f t="shared" si="6"/>
        <v>-0.74332648870636553</v>
      </c>
      <c r="S31" s="157"/>
      <c r="T31" s="313"/>
      <c r="U31" s="460"/>
      <c r="V31" s="98"/>
      <c r="W31" s="98"/>
      <c r="X31" s="98"/>
      <c r="Y31" s="98"/>
      <c r="Z31" s="98"/>
    </row>
    <row r="32" spans="1:26" hidden="1" x14ac:dyDescent="0.2">
      <c r="A32" s="464">
        <v>80</v>
      </c>
      <c r="B32" s="465" t="s">
        <v>449</v>
      </c>
      <c r="C32" s="466">
        <v>1</v>
      </c>
      <c r="D32" s="467">
        <f t="shared" si="0"/>
        <v>45</v>
      </c>
      <c r="E32" s="468">
        <f t="shared" si="1"/>
        <v>49</v>
      </c>
      <c r="F32" s="469" t="str">
        <f t="shared" si="2"/>
        <v>52-66407H</v>
      </c>
      <c r="G32" s="470">
        <f t="shared" si="3"/>
        <v>45</v>
      </c>
      <c r="H32" s="471">
        <f t="shared" si="4"/>
        <v>-0.74332648870636553</v>
      </c>
      <c r="I32" s="472">
        <f t="shared" si="5"/>
        <v>45</v>
      </c>
      <c r="J32" s="473">
        <f>VLOOKUP(($D$5/$C32),$D$53:$I$97,5)</f>
        <v>49</v>
      </c>
      <c r="K32" s="474">
        <f>C32</f>
        <v>1</v>
      </c>
      <c r="L32" s="474" t="str">
        <f>VLOOKUP(($D$5/$C32),$D$53:$I$97,6)</f>
        <v>52-66407H</v>
      </c>
      <c r="M32" s="475">
        <f>VLOOKUP(($D$5/$C32),$D$53:$I$97,4)</f>
        <v>45</v>
      </c>
      <c r="N32" s="458">
        <v>0</v>
      </c>
      <c r="O32" s="476">
        <f>($D$5-(K32*M32))</f>
        <v>130.32</v>
      </c>
      <c r="P32" s="457">
        <v>0</v>
      </c>
      <c r="Q32" s="477">
        <v>0</v>
      </c>
      <c r="R32" s="478">
        <f t="shared" si="6"/>
        <v>-0.74332648870636553</v>
      </c>
      <c r="S32" s="157"/>
      <c r="T32" s="313"/>
      <c r="U32" s="98"/>
      <c r="V32" s="98"/>
      <c r="W32" s="98"/>
      <c r="X32" s="98"/>
      <c r="Y32" s="98"/>
      <c r="Z32" s="98"/>
    </row>
    <row r="33" spans="1:26" hidden="1" x14ac:dyDescent="0.2">
      <c r="A33" s="156">
        <v>100</v>
      </c>
      <c r="B33" s="479" t="s">
        <v>450</v>
      </c>
      <c r="C33" s="21">
        <v>2</v>
      </c>
      <c r="D33" s="467">
        <f t="shared" si="0"/>
        <v>90</v>
      </c>
      <c r="E33" s="468">
        <f t="shared" si="1"/>
        <v>49</v>
      </c>
      <c r="F33" s="469" t="str">
        <f t="shared" si="2"/>
        <v>52-66407H</v>
      </c>
      <c r="G33" s="470">
        <f t="shared" si="3"/>
        <v>45</v>
      </c>
      <c r="H33" s="471">
        <f t="shared" si="4"/>
        <v>-0.48665297741273095</v>
      </c>
      <c r="I33" s="472">
        <f t="shared" si="5"/>
        <v>90</v>
      </c>
      <c r="J33" s="480">
        <f t="shared" ref="J33:J44" si="7">IF($D$5/$C33&lt;3.8,J32,VLOOKUP(($D$5/$C33),$D$53:$I$97,5))</f>
        <v>49</v>
      </c>
      <c r="K33" s="458">
        <f>IF($D$5/$C33&lt;3.8,K32,C33-1)</f>
        <v>1</v>
      </c>
      <c r="L33" s="475" t="str">
        <f t="shared" ref="L33:L44" si="8">IF($D$5/$C33&lt;3.8,L32,VLOOKUP(($D$5/$C33),$D$53:$I$97,6))</f>
        <v>52-66407H</v>
      </c>
      <c r="M33" s="475">
        <f t="shared" ref="M33:M44" si="9">IF($D$5/$C33&lt;3.8,M32,VLOOKUP(($D$5/$C33),$D$53:$I$97,4))</f>
        <v>45</v>
      </c>
      <c r="N33" s="458">
        <f t="shared" ref="N33:N44" si="10">IF($D$5/$C33&lt;3.8,N32,C33-K33)</f>
        <v>1</v>
      </c>
      <c r="O33" s="476">
        <f t="shared" ref="O33:O44" si="11">IF($N$33=0,O32,($D$5-(K33*M33))/N33)</f>
        <v>130.32</v>
      </c>
      <c r="P33" s="457" t="str">
        <f t="shared" ref="P33:P44" si="12">IF($O33&lt;0,P32,((VLOOKUP(($O33),$D$53:$I$97,6))))</f>
        <v>52-66407H</v>
      </c>
      <c r="Q33" s="477">
        <f t="shared" ref="Q33:Q44" si="13">IF($O33&lt;0,Q32,((VLOOKUP(($O33),$D$53:$I$97,4))))</f>
        <v>45</v>
      </c>
      <c r="R33" s="478">
        <f t="shared" si="6"/>
        <v>-0.48665297741273095</v>
      </c>
      <c r="S33" s="451"/>
      <c r="T33" s="313"/>
      <c r="U33" s="98"/>
      <c r="V33" s="98"/>
      <c r="W33" s="98"/>
      <c r="X33" s="98"/>
      <c r="Y33" s="98"/>
      <c r="Z33" s="98"/>
    </row>
    <row r="34" spans="1:26" hidden="1" x14ac:dyDescent="0.2">
      <c r="A34" s="464">
        <v>125</v>
      </c>
      <c r="B34" s="465" t="s">
        <v>451</v>
      </c>
      <c r="C34" s="466">
        <v>3</v>
      </c>
      <c r="D34" s="467">
        <f t="shared" si="0"/>
        <v>135</v>
      </c>
      <c r="E34" s="468">
        <f t="shared" si="1"/>
        <v>49</v>
      </c>
      <c r="F34" s="469" t="str">
        <f t="shared" si="2"/>
        <v>52-66407H</v>
      </c>
      <c r="G34" s="470">
        <f t="shared" si="3"/>
        <v>45</v>
      </c>
      <c r="H34" s="471">
        <f t="shared" si="4"/>
        <v>-0.22997946611909648</v>
      </c>
      <c r="I34" s="472">
        <f t="shared" si="5"/>
        <v>135</v>
      </c>
      <c r="J34" s="480">
        <f t="shared" si="7"/>
        <v>49</v>
      </c>
      <c r="K34" s="458">
        <f>IF($D$5/$C34&lt;3.8,K33,C34-1)</f>
        <v>2</v>
      </c>
      <c r="L34" s="475" t="str">
        <f t="shared" si="8"/>
        <v>52-66407H</v>
      </c>
      <c r="M34" s="475">
        <f t="shared" si="9"/>
        <v>45</v>
      </c>
      <c r="N34" s="458">
        <f t="shared" si="10"/>
        <v>1</v>
      </c>
      <c r="O34" s="476">
        <f t="shared" si="11"/>
        <v>85.32</v>
      </c>
      <c r="P34" s="457" t="str">
        <f t="shared" si="12"/>
        <v>52-66407H</v>
      </c>
      <c r="Q34" s="477">
        <f t="shared" si="13"/>
        <v>45</v>
      </c>
      <c r="R34" s="478">
        <f t="shared" si="6"/>
        <v>-0.22997946611909648</v>
      </c>
      <c r="S34" s="456"/>
      <c r="T34" s="313"/>
      <c r="U34" s="98"/>
      <c r="V34" s="98"/>
      <c r="W34" s="98"/>
      <c r="X34" s="98"/>
      <c r="Y34" s="98"/>
      <c r="Z34" s="98"/>
    </row>
    <row r="35" spans="1:26" hidden="1" x14ac:dyDescent="0.2">
      <c r="A35" s="156">
        <v>150</v>
      </c>
      <c r="B35" s="479" t="s">
        <v>452</v>
      </c>
      <c r="C35" s="21">
        <v>4</v>
      </c>
      <c r="D35" s="467">
        <f t="shared" si="0"/>
        <v>164</v>
      </c>
      <c r="E35" s="468">
        <f t="shared" si="1"/>
        <v>46</v>
      </c>
      <c r="F35" s="469" t="str">
        <f t="shared" si="2"/>
        <v>52-66407</v>
      </c>
      <c r="G35" s="470">
        <f t="shared" si="3"/>
        <v>41</v>
      </c>
      <c r="H35" s="471">
        <f t="shared" si="4"/>
        <v>-6.4567647729865341E-2</v>
      </c>
      <c r="I35" s="472">
        <f t="shared" si="5"/>
        <v>176</v>
      </c>
      <c r="J35" s="480">
        <f t="shared" si="7"/>
        <v>49</v>
      </c>
      <c r="K35" s="458">
        <f>IF($D$5/$C35&lt;3.8,K34,C35-1)</f>
        <v>3</v>
      </c>
      <c r="L35" s="475" t="str">
        <f t="shared" si="8"/>
        <v>52-66407H</v>
      </c>
      <c r="M35" s="475">
        <f t="shared" si="9"/>
        <v>45</v>
      </c>
      <c r="N35" s="458">
        <f t="shared" si="10"/>
        <v>1</v>
      </c>
      <c r="O35" s="476">
        <f t="shared" si="11"/>
        <v>40.319999999999993</v>
      </c>
      <c r="P35" s="457" t="str">
        <f t="shared" si="12"/>
        <v>52-66407</v>
      </c>
      <c r="Q35" s="477">
        <f t="shared" si="13"/>
        <v>41</v>
      </c>
      <c r="R35" s="478">
        <f t="shared" si="6"/>
        <v>3.8786219484372442E-3</v>
      </c>
      <c r="S35" s="158"/>
      <c r="T35" s="313"/>
      <c r="U35" s="98"/>
      <c r="V35" s="98"/>
      <c r="W35" s="98"/>
      <c r="X35" s="98"/>
      <c r="Y35" s="98"/>
      <c r="Z35" s="98"/>
    </row>
    <row r="36" spans="1:26" hidden="1" x14ac:dyDescent="0.2">
      <c r="A36" s="464">
        <v>200</v>
      </c>
      <c r="B36" s="465" t="s">
        <v>453</v>
      </c>
      <c r="C36" s="466">
        <v>7</v>
      </c>
      <c r="D36" s="467">
        <f t="shared" si="0"/>
        <v>171.5</v>
      </c>
      <c r="E36" s="468">
        <f t="shared" si="1"/>
        <v>37</v>
      </c>
      <c r="F36" s="469" t="str">
        <f t="shared" si="2"/>
        <v>52-66338</v>
      </c>
      <c r="G36" s="470">
        <f t="shared" si="3"/>
        <v>24.5</v>
      </c>
      <c r="H36" s="471">
        <f t="shared" si="4"/>
        <v>-2.1788729180926225E-2</v>
      </c>
      <c r="I36" s="472">
        <f t="shared" si="5"/>
        <v>176.00000000000003</v>
      </c>
      <c r="J36" s="480">
        <f t="shared" si="7"/>
        <v>38</v>
      </c>
      <c r="K36" s="458">
        <f>IF($D$5/$C36&lt;3.8,K35,C36-1)</f>
        <v>6</v>
      </c>
      <c r="L36" s="475" t="str">
        <f t="shared" si="8"/>
        <v>52-66344</v>
      </c>
      <c r="M36" s="475">
        <f t="shared" si="9"/>
        <v>25.6</v>
      </c>
      <c r="N36" s="458">
        <f t="shared" si="10"/>
        <v>1</v>
      </c>
      <c r="O36" s="476">
        <f t="shared" si="11"/>
        <v>21.71999999999997</v>
      </c>
      <c r="P36" s="457" t="str">
        <f t="shared" si="12"/>
        <v>52-66326</v>
      </c>
      <c r="Q36" s="477">
        <f t="shared" si="13"/>
        <v>22.4</v>
      </c>
      <c r="R36" s="478">
        <f t="shared" si="6"/>
        <v>3.8786219484372442E-3</v>
      </c>
      <c r="S36" s="10"/>
      <c r="T36" s="313"/>
      <c r="U36" s="98"/>
      <c r="V36" s="98"/>
      <c r="W36" s="98"/>
      <c r="X36" s="98"/>
      <c r="Y36" s="98"/>
      <c r="Z36" s="98"/>
    </row>
    <row r="37" spans="1:26" hidden="1" x14ac:dyDescent="0.2">
      <c r="A37" s="156">
        <v>250</v>
      </c>
      <c r="B37" s="479" t="s">
        <v>454</v>
      </c>
      <c r="C37" s="21">
        <v>12</v>
      </c>
      <c r="D37" s="467">
        <f t="shared" si="0"/>
        <v>160.80000000000001</v>
      </c>
      <c r="E37" s="468">
        <f t="shared" si="1"/>
        <v>24</v>
      </c>
      <c r="F37" s="469" t="str">
        <f t="shared" si="2"/>
        <v>52-55298</v>
      </c>
      <c r="G37" s="470">
        <f t="shared" si="3"/>
        <v>13.4</v>
      </c>
      <c r="H37" s="471">
        <f t="shared" si="4"/>
        <v>-8.2819986310745941E-2</v>
      </c>
      <c r="I37" s="472">
        <f t="shared" si="5"/>
        <v>177.6</v>
      </c>
      <c r="J37" s="480">
        <f t="shared" si="7"/>
        <v>27</v>
      </c>
      <c r="K37" s="458">
        <f>IF($D$5/$C37&lt;3.8,K36,C37-2)</f>
        <v>10</v>
      </c>
      <c r="L37" s="475" t="str">
        <f t="shared" si="8"/>
        <v>52-55303</v>
      </c>
      <c r="M37" s="475">
        <f t="shared" si="9"/>
        <v>14.8</v>
      </c>
      <c r="N37" s="458">
        <f t="shared" si="10"/>
        <v>2</v>
      </c>
      <c r="O37" s="476">
        <f t="shared" si="11"/>
        <v>13.659999999999997</v>
      </c>
      <c r="P37" s="457" t="str">
        <f t="shared" si="12"/>
        <v>52-55303</v>
      </c>
      <c r="Q37" s="477">
        <f t="shared" si="13"/>
        <v>14.8</v>
      </c>
      <c r="R37" s="478">
        <f t="shared" si="6"/>
        <v>1.3004791238877544E-2</v>
      </c>
      <c r="S37" s="158"/>
      <c r="T37" s="313"/>
      <c r="U37" s="98"/>
      <c r="V37" s="98"/>
      <c r="W37" s="98"/>
      <c r="X37" s="98"/>
      <c r="Y37" s="98"/>
      <c r="Z37" s="98"/>
    </row>
    <row r="38" spans="1:26" hidden="1" x14ac:dyDescent="0.2">
      <c r="A38" s="464">
        <v>300</v>
      </c>
      <c r="B38" s="465" t="s">
        <v>455</v>
      </c>
      <c r="C38" s="466">
        <v>15</v>
      </c>
      <c r="D38" s="467">
        <f t="shared" si="0"/>
        <v>171</v>
      </c>
      <c r="E38" s="468">
        <f t="shared" si="1"/>
        <v>22</v>
      </c>
      <c r="F38" s="469" t="str">
        <f t="shared" si="2"/>
        <v>52-55287</v>
      </c>
      <c r="G38" s="470">
        <f t="shared" si="3"/>
        <v>11.4</v>
      </c>
      <c r="H38" s="471">
        <f t="shared" si="4"/>
        <v>-2.4640657084188833E-2</v>
      </c>
      <c r="I38" s="472">
        <f t="shared" si="5"/>
        <v>175.5</v>
      </c>
      <c r="J38" s="480">
        <f t="shared" si="7"/>
        <v>23</v>
      </c>
      <c r="K38" s="458">
        <f>IF($D$5/$C38&lt;3.8,K37,C38-2)</f>
        <v>13</v>
      </c>
      <c r="L38" s="475" t="str">
        <f t="shared" si="8"/>
        <v>52-55292</v>
      </c>
      <c r="M38" s="475">
        <f t="shared" si="9"/>
        <v>12.5</v>
      </c>
      <c r="N38" s="458">
        <f t="shared" si="10"/>
        <v>2</v>
      </c>
      <c r="O38" s="476">
        <f t="shared" si="11"/>
        <v>6.4099999999999966</v>
      </c>
      <c r="P38" s="457" t="str">
        <f t="shared" si="12"/>
        <v>52-55243</v>
      </c>
      <c r="Q38" s="477">
        <f t="shared" si="13"/>
        <v>6.5</v>
      </c>
      <c r="R38" s="478">
        <f t="shared" si="6"/>
        <v>1.0266940451746365E-3</v>
      </c>
      <c r="S38" s="456"/>
      <c r="T38" s="313"/>
      <c r="U38" s="98"/>
      <c r="V38" s="98"/>
      <c r="W38" s="98"/>
      <c r="X38" s="98"/>
      <c r="Y38" s="98"/>
      <c r="Z38" s="98"/>
    </row>
    <row r="39" spans="1:26" hidden="1" x14ac:dyDescent="0.2">
      <c r="A39" s="156">
        <v>350</v>
      </c>
      <c r="B39" s="479" t="s">
        <v>456</v>
      </c>
      <c r="C39" s="21">
        <v>19</v>
      </c>
      <c r="D39" s="467">
        <f t="shared" si="0"/>
        <v>169.1</v>
      </c>
      <c r="E39" s="468">
        <f t="shared" si="1"/>
        <v>16</v>
      </c>
      <c r="F39" s="469" t="str">
        <f t="shared" si="2"/>
        <v>52-55269</v>
      </c>
      <c r="G39" s="470">
        <f t="shared" si="3"/>
        <v>8.9</v>
      </c>
      <c r="H39" s="471">
        <f t="shared" si="4"/>
        <v>-3.5477983116586786E-2</v>
      </c>
      <c r="I39" s="472">
        <f t="shared" si="5"/>
        <v>177.8</v>
      </c>
      <c r="J39" s="480">
        <f t="shared" si="7"/>
        <v>19</v>
      </c>
      <c r="K39" s="458">
        <f>IF($D$5/$C39&lt;3.8,K38,C39-3)</f>
        <v>16</v>
      </c>
      <c r="L39" s="475" t="str">
        <f t="shared" si="8"/>
        <v>52-55279</v>
      </c>
      <c r="M39" s="475">
        <f t="shared" si="9"/>
        <v>10.4</v>
      </c>
      <c r="N39" s="458">
        <f t="shared" si="10"/>
        <v>3</v>
      </c>
      <c r="O39" s="476">
        <f t="shared" si="11"/>
        <v>2.9733333333333292</v>
      </c>
      <c r="P39" s="457" t="str">
        <f t="shared" si="12"/>
        <v>52-55179</v>
      </c>
      <c r="Q39" s="477">
        <f t="shared" si="13"/>
        <v>3.8</v>
      </c>
      <c r="R39" s="478">
        <f t="shared" si="6"/>
        <v>1.4145562400182721E-2</v>
      </c>
      <c r="S39" s="456"/>
      <c r="T39" s="165"/>
      <c r="U39" s="165"/>
      <c r="V39" s="186"/>
      <c r="W39" s="252"/>
      <c r="X39" s="98"/>
      <c r="Y39" s="98"/>
      <c r="Z39" s="98"/>
    </row>
    <row r="40" spans="1:26" hidden="1" x14ac:dyDescent="0.2">
      <c r="A40" s="464">
        <v>400</v>
      </c>
      <c r="B40" s="465" t="s">
        <v>457</v>
      </c>
      <c r="C40" s="466">
        <v>26</v>
      </c>
      <c r="D40" s="467">
        <f t="shared" si="0"/>
        <v>169</v>
      </c>
      <c r="E40" s="468">
        <f t="shared" si="1"/>
        <v>14</v>
      </c>
      <c r="F40" s="469" t="str">
        <f t="shared" si="2"/>
        <v>52-55243</v>
      </c>
      <c r="G40" s="470">
        <f t="shared" si="3"/>
        <v>6.5</v>
      </c>
      <c r="H40" s="471">
        <f t="shared" si="4"/>
        <v>-3.6048368697239264E-2</v>
      </c>
      <c r="I40" s="472">
        <f t="shared" si="5"/>
        <v>175.6</v>
      </c>
      <c r="J40" s="480">
        <f t="shared" si="7"/>
        <v>14</v>
      </c>
      <c r="K40" s="458">
        <f>IF($D$5/$C40&lt;3.8,K39,C40-5)</f>
        <v>21</v>
      </c>
      <c r="L40" s="475" t="str">
        <f t="shared" si="8"/>
        <v>52-55251</v>
      </c>
      <c r="M40" s="475">
        <f t="shared" si="9"/>
        <v>7.1</v>
      </c>
      <c r="N40" s="458">
        <f t="shared" si="10"/>
        <v>5</v>
      </c>
      <c r="O40" s="476">
        <f t="shared" si="11"/>
        <v>5.2439999999999998</v>
      </c>
      <c r="P40" s="457" t="str">
        <f t="shared" si="12"/>
        <v>52-55220</v>
      </c>
      <c r="Q40" s="477">
        <f t="shared" si="13"/>
        <v>5.3</v>
      </c>
      <c r="R40" s="478">
        <f t="shared" si="6"/>
        <v>1.5970796258271136E-3</v>
      </c>
      <c r="S40" s="456"/>
      <c r="T40" s="165"/>
      <c r="U40" s="165"/>
      <c r="V40" s="186"/>
      <c r="W40" s="252"/>
      <c r="X40" s="98"/>
      <c r="Y40" s="98"/>
      <c r="Z40" s="98"/>
    </row>
    <row r="41" spans="1:26" hidden="1" x14ac:dyDescent="0.2">
      <c r="A41" s="156">
        <v>450</v>
      </c>
      <c r="B41" s="479" t="s">
        <v>458</v>
      </c>
      <c r="C41" s="21">
        <v>33</v>
      </c>
      <c r="D41" s="467">
        <f t="shared" si="0"/>
        <v>174.9</v>
      </c>
      <c r="E41" s="468">
        <f t="shared" si="1"/>
        <v>14</v>
      </c>
      <c r="F41" s="469" t="str">
        <f t="shared" si="2"/>
        <v>52-55220</v>
      </c>
      <c r="G41" s="470">
        <f t="shared" si="3"/>
        <v>5.3</v>
      </c>
      <c r="H41" s="471">
        <f t="shared" si="4"/>
        <v>-2.3956194387405594E-3</v>
      </c>
      <c r="I41" s="472">
        <f t="shared" si="5"/>
        <v>177.1</v>
      </c>
      <c r="J41" s="480">
        <f t="shared" si="7"/>
        <v>14</v>
      </c>
      <c r="K41" s="458">
        <f>IF($D$5/$C41&lt;3.8,K40,C41-10)</f>
        <v>23</v>
      </c>
      <c r="L41" s="475" t="str">
        <f t="shared" si="8"/>
        <v>52-55227</v>
      </c>
      <c r="M41" s="475">
        <f t="shared" si="9"/>
        <v>5.7</v>
      </c>
      <c r="N41" s="458">
        <f t="shared" si="10"/>
        <v>10</v>
      </c>
      <c r="O41" s="476">
        <f t="shared" si="11"/>
        <v>4.4219999999999997</v>
      </c>
      <c r="P41" s="457" t="str">
        <f t="shared" si="12"/>
        <v>52-55206</v>
      </c>
      <c r="Q41" s="477">
        <f t="shared" si="13"/>
        <v>4.5999999999999996</v>
      </c>
      <c r="R41" s="478">
        <f t="shared" si="6"/>
        <v>1.0152863335614937E-2</v>
      </c>
      <c r="S41" s="456"/>
      <c r="T41" s="165"/>
      <c r="U41" s="165"/>
      <c r="V41" s="186"/>
      <c r="W41" s="481"/>
      <c r="X41" s="98"/>
      <c r="Y41" s="98"/>
      <c r="Z41" s="98"/>
    </row>
    <row r="42" spans="1:26" hidden="1" x14ac:dyDescent="0.2">
      <c r="A42" s="464">
        <v>500</v>
      </c>
      <c r="B42" s="465" t="s">
        <v>459</v>
      </c>
      <c r="C42" s="466">
        <v>40</v>
      </c>
      <c r="D42" s="467">
        <f t="shared" si="0"/>
        <v>168</v>
      </c>
      <c r="E42" s="468">
        <f t="shared" si="1"/>
        <v>13</v>
      </c>
      <c r="F42" s="469" t="str">
        <f t="shared" si="2"/>
        <v>52-55194</v>
      </c>
      <c r="G42" s="470">
        <f t="shared" si="3"/>
        <v>4.2</v>
      </c>
      <c r="H42" s="471">
        <f t="shared" si="4"/>
        <v>-4.1752224503764479E-2</v>
      </c>
      <c r="I42" s="472">
        <f t="shared" si="5"/>
        <v>176</v>
      </c>
      <c r="J42" s="480">
        <f t="shared" si="7"/>
        <v>13</v>
      </c>
      <c r="K42" s="458">
        <f>IF($D$5/$C42&lt;3.8,K41,C42-10)</f>
        <v>30</v>
      </c>
      <c r="L42" s="475" t="str">
        <f t="shared" si="8"/>
        <v>52-55200</v>
      </c>
      <c r="M42" s="475">
        <f t="shared" si="9"/>
        <v>4.4000000000000004</v>
      </c>
      <c r="N42" s="458">
        <f t="shared" si="10"/>
        <v>10</v>
      </c>
      <c r="O42" s="476">
        <f t="shared" si="11"/>
        <v>4.331999999999999</v>
      </c>
      <c r="P42" s="457" t="str">
        <f t="shared" si="12"/>
        <v>52-55200</v>
      </c>
      <c r="Q42" s="477">
        <f t="shared" si="13"/>
        <v>4.4000000000000004</v>
      </c>
      <c r="R42" s="478">
        <f t="shared" si="6"/>
        <v>3.8786219484372442E-3</v>
      </c>
      <c r="S42" s="456"/>
      <c r="T42" s="165"/>
      <c r="U42" s="165"/>
      <c r="V42" s="186"/>
      <c r="W42" s="252"/>
      <c r="X42" s="98"/>
      <c r="Y42" s="98"/>
      <c r="Z42" s="98"/>
    </row>
    <row r="43" spans="1:26" hidden="1" x14ac:dyDescent="0.2">
      <c r="A43" s="156">
        <v>600</v>
      </c>
      <c r="B43" s="479" t="s">
        <v>460</v>
      </c>
      <c r="C43" s="75">
        <v>56</v>
      </c>
      <c r="D43" s="467">
        <f t="shared" si="0"/>
        <v>168</v>
      </c>
      <c r="E43" s="468">
        <f t="shared" si="1"/>
        <v>13</v>
      </c>
      <c r="F43" s="469" t="str">
        <f t="shared" si="2"/>
        <v>52-55194</v>
      </c>
      <c r="G43" s="470">
        <f t="shared" si="3"/>
        <v>4.2</v>
      </c>
      <c r="H43" s="471">
        <f t="shared" si="4"/>
        <v>-4.1752224503764479E-2</v>
      </c>
      <c r="I43" s="472">
        <f t="shared" si="5"/>
        <v>176</v>
      </c>
      <c r="J43" s="480">
        <f t="shared" si="7"/>
        <v>13</v>
      </c>
      <c r="K43" s="458">
        <f>IF($D$5/$C43&lt;3.8,K42,C43-15)</f>
        <v>30</v>
      </c>
      <c r="L43" s="475" t="str">
        <f t="shared" si="8"/>
        <v>52-55200</v>
      </c>
      <c r="M43" s="475">
        <f t="shared" si="9"/>
        <v>4.4000000000000004</v>
      </c>
      <c r="N43" s="458">
        <f t="shared" si="10"/>
        <v>10</v>
      </c>
      <c r="O43" s="476">
        <f t="shared" si="11"/>
        <v>4.331999999999999</v>
      </c>
      <c r="P43" s="457" t="str">
        <f t="shared" si="12"/>
        <v>52-55200</v>
      </c>
      <c r="Q43" s="477">
        <f t="shared" si="13"/>
        <v>4.4000000000000004</v>
      </c>
      <c r="R43" s="478">
        <f t="shared" si="6"/>
        <v>3.8786219484372442E-3</v>
      </c>
      <c r="S43" s="456"/>
      <c r="T43" s="165"/>
      <c r="U43" s="165"/>
      <c r="V43" s="186"/>
      <c r="W43" s="252"/>
      <c r="X43" s="98"/>
      <c r="Y43" s="98"/>
      <c r="Z43" s="98"/>
    </row>
    <row r="44" spans="1:26" hidden="1" x14ac:dyDescent="0.2">
      <c r="A44" s="464">
        <v>800</v>
      </c>
      <c r="B44" s="465" t="s">
        <v>461</v>
      </c>
      <c r="C44" s="466">
        <v>85</v>
      </c>
      <c r="D44" s="467">
        <f t="shared" si="0"/>
        <v>168</v>
      </c>
      <c r="E44" s="468">
        <f t="shared" si="1"/>
        <v>13</v>
      </c>
      <c r="F44" s="469" t="str">
        <f t="shared" si="2"/>
        <v>52-55194</v>
      </c>
      <c r="G44" s="470">
        <f t="shared" si="3"/>
        <v>4.2</v>
      </c>
      <c r="H44" s="471">
        <f t="shared" si="4"/>
        <v>-4.1752224503764479E-2</v>
      </c>
      <c r="I44" s="472">
        <f t="shared" si="5"/>
        <v>176</v>
      </c>
      <c r="J44" s="480">
        <f t="shared" si="7"/>
        <v>13</v>
      </c>
      <c r="K44" s="458">
        <f>IF($D$5/$C44&lt;3.8,K43,C44-20)</f>
        <v>30</v>
      </c>
      <c r="L44" s="475" t="str">
        <f t="shared" si="8"/>
        <v>52-55200</v>
      </c>
      <c r="M44" s="475">
        <f t="shared" si="9"/>
        <v>4.4000000000000004</v>
      </c>
      <c r="N44" s="458">
        <f t="shared" si="10"/>
        <v>10</v>
      </c>
      <c r="O44" s="476">
        <f t="shared" si="11"/>
        <v>4.331999999999999</v>
      </c>
      <c r="P44" s="457" t="str">
        <f t="shared" si="12"/>
        <v>52-55200</v>
      </c>
      <c r="Q44" s="477">
        <f t="shared" si="13"/>
        <v>4.4000000000000004</v>
      </c>
      <c r="R44" s="478">
        <f t="shared" si="6"/>
        <v>3.8786219484372442E-3</v>
      </c>
      <c r="S44" s="456"/>
      <c r="T44" s="313"/>
      <c r="U44" s="98"/>
      <c r="V44" s="98"/>
      <c r="W44" s="98"/>
      <c r="X44" s="98"/>
      <c r="Y44" s="98"/>
      <c r="Z44" s="98"/>
    </row>
    <row r="45" spans="1:26" ht="13.5" thickBot="1" x14ac:dyDescent="0.25">
      <c r="A45" s="26"/>
      <c r="B45" s="10"/>
      <c r="C45" s="10"/>
      <c r="D45" s="10"/>
      <c r="E45" s="10"/>
      <c r="F45" s="10"/>
      <c r="G45" s="10"/>
      <c r="H45" s="10"/>
      <c r="I45" s="186"/>
      <c r="J45" s="426"/>
      <c r="K45" s="10"/>
      <c r="L45" s="10"/>
      <c r="M45" s="10"/>
      <c r="N45" s="10"/>
      <c r="O45" s="10"/>
      <c r="P45" s="10"/>
      <c r="Q45" s="10"/>
      <c r="R45" s="272"/>
      <c r="S45" s="456"/>
      <c r="T45" s="313"/>
      <c r="U45" s="98"/>
      <c r="V45" s="98"/>
      <c r="W45" s="98"/>
      <c r="X45" s="98"/>
      <c r="Y45" s="98"/>
      <c r="Z45" s="98"/>
    </row>
    <row r="46" spans="1:26" ht="12.75" hidden="1" customHeight="1" x14ac:dyDescent="0.2">
      <c r="A46" s="482"/>
      <c r="B46" s="483" t="s">
        <v>462</v>
      </c>
      <c r="C46" s="10"/>
      <c r="D46" s="165"/>
      <c r="E46" s="165"/>
      <c r="F46" s="10"/>
      <c r="G46" s="10"/>
      <c r="H46" s="10"/>
      <c r="I46" s="205" t="s">
        <v>463</v>
      </c>
      <c r="J46" s="484" t="s">
        <v>464</v>
      </c>
      <c r="K46" s="452"/>
      <c r="L46" s="452"/>
      <c r="M46" s="452"/>
      <c r="N46" s="452"/>
      <c r="O46" s="452"/>
      <c r="P46" s="10"/>
      <c r="Q46" s="10"/>
      <c r="R46" s="272"/>
      <c r="S46" s="157"/>
      <c r="T46" s="313"/>
      <c r="U46" s="98"/>
      <c r="V46" s="98"/>
      <c r="W46" s="98"/>
      <c r="X46" s="98"/>
      <c r="Y46" s="98"/>
      <c r="Z46" s="98"/>
    </row>
    <row r="47" spans="1:26" ht="12.75" hidden="1" customHeight="1" x14ac:dyDescent="0.2">
      <c r="A47" s="482"/>
      <c r="B47" s="485" t="s">
        <v>465</v>
      </c>
      <c r="C47" s="21"/>
      <c r="D47" s="416"/>
      <c r="E47" s="10"/>
      <c r="F47" s="10"/>
      <c r="G47" s="98"/>
      <c r="H47" s="98"/>
      <c r="I47" s="98"/>
      <c r="J47" s="10"/>
      <c r="K47" s="10"/>
      <c r="L47" s="10"/>
      <c r="M47" s="157" t="s">
        <v>466</v>
      </c>
      <c r="N47" s="10"/>
      <c r="O47" s="10"/>
      <c r="P47" s="10"/>
      <c r="Q47" s="10"/>
      <c r="R47" s="272"/>
      <c r="S47" s="456"/>
      <c r="T47" s="313"/>
      <c r="U47" s="98"/>
      <c r="V47" s="98"/>
      <c r="W47" s="98"/>
      <c r="X47" s="98"/>
      <c r="Y47" s="98"/>
      <c r="Z47" s="98"/>
    </row>
    <row r="48" spans="1:26" ht="12.75" hidden="1" customHeight="1" x14ac:dyDescent="0.2">
      <c r="A48" s="482"/>
      <c r="B48" s="483" t="s">
        <v>467</v>
      </c>
      <c r="C48" s="293"/>
      <c r="D48" s="293"/>
      <c r="E48" s="293"/>
      <c r="F48" s="10"/>
      <c r="G48" s="10"/>
      <c r="H48" s="293"/>
      <c r="I48" s="293"/>
      <c r="J48" s="10"/>
      <c r="K48" s="10"/>
      <c r="L48" s="10"/>
      <c r="M48" s="451" t="s">
        <v>468</v>
      </c>
      <c r="N48" s="10"/>
      <c r="O48" s="10"/>
      <c r="P48" s="10"/>
      <c r="Q48" s="10"/>
      <c r="R48" s="272"/>
      <c r="S48" s="456"/>
      <c r="T48" s="313"/>
      <c r="U48" s="98"/>
      <c r="V48" s="98"/>
      <c r="W48" s="98"/>
      <c r="X48" s="98"/>
      <c r="Y48" s="98"/>
      <c r="Z48" s="98"/>
    </row>
    <row r="49" spans="1:34" ht="12.75" hidden="1" customHeight="1" x14ac:dyDescent="0.2">
      <c r="A49" s="486"/>
      <c r="B49" s="10"/>
      <c r="C49" s="803" t="s">
        <v>469</v>
      </c>
      <c r="D49" s="803"/>
      <c r="E49" s="803"/>
      <c r="F49" s="803"/>
      <c r="G49" s="803"/>
      <c r="H49" s="803"/>
      <c r="I49" s="803"/>
      <c r="J49" s="452"/>
      <c r="K49" s="10"/>
      <c r="L49" s="10"/>
      <c r="M49" s="10"/>
      <c r="N49" s="10"/>
      <c r="O49" s="10"/>
      <c r="P49" s="10"/>
      <c r="Q49" s="10"/>
      <c r="R49" s="272"/>
      <c r="S49" s="456"/>
      <c r="T49" s="313"/>
      <c r="U49" s="98"/>
      <c r="V49" s="98"/>
      <c r="W49" s="98"/>
      <c r="X49" s="98"/>
      <c r="Y49" s="98"/>
      <c r="Z49" s="98"/>
    </row>
    <row r="50" spans="1:34" ht="12.75" hidden="1" customHeight="1" x14ac:dyDescent="0.2">
      <c r="A50" s="487"/>
      <c r="B50" s="10"/>
      <c r="C50" s="754" t="s">
        <v>345</v>
      </c>
      <c r="D50" s="754"/>
      <c r="E50" s="754"/>
      <c r="F50" s="754"/>
      <c r="G50" s="754" t="s">
        <v>344</v>
      </c>
      <c r="H50" s="754"/>
      <c r="I50" s="754"/>
      <c r="J50" s="10"/>
      <c r="K50" s="10"/>
      <c r="L50" s="10"/>
      <c r="M50" s="10" t="s">
        <v>470</v>
      </c>
      <c r="N50" s="10"/>
      <c r="O50" s="10"/>
      <c r="P50" s="10"/>
      <c r="Q50" s="10"/>
      <c r="R50" s="272"/>
      <c r="S50" s="456"/>
      <c r="T50" s="313"/>
      <c r="U50" s="98"/>
      <c r="V50" s="98"/>
      <c r="W50" s="98"/>
      <c r="X50" s="98"/>
      <c r="Y50" s="98"/>
      <c r="Z50" s="98"/>
    </row>
    <row r="51" spans="1:34" ht="12.75" hidden="1" customHeight="1" x14ac:dyDescent="0.2">
      <c r="A51" s="488"/>
      <c r="B51" s="489"/>
      <c r="C51" s="293" t="s">
        <v>343</v>
      </c>
      <c r="D51" s="489" t="s">
        <v>431</v>
      </c>
      <c r="E51" s="293" t="s">
        <v>4</v>
      </c>
      <c r="F51" s="293"/>
      <c r="G51" s="489" t="s">
        <v>431</v>
      </c>
      <c r="H51" s="293" t="s">
        <v>4</v>
      </c>
      <c r="I51" s="293"/>
      <c r="J51" s="10"/>
      <c r="K51" s="490"/>
      <c r="L51" s="483"/>
      <c r="M51" s="10"/>
      <c r="N51" s="10"/>
      <c r="O51" s="10"/>
      <c r="P51" s="10"/>
      <c r="Q51" s="10"/>
      <c r="R51" s="272"/>
      <c r="S51" s="456"/>
      <c r="T51" s="313"/>
      <c r="U51" s="98"/>
      <c r="V51" s="98"/>
      <c r="W51" s="98"/>
      <c r="X51" s="98"/>
      <c r="Y51" s="98"/>
      <c r="Z51" s="98"/>
    </row>
    <row r="52" spans="1:34" ht="12.75" hidden="1" customHeight="1" x14ac:dyDescent="0.2">
      <c r="A52" s="26"/>
      <c r="B52" s="10"/>
      <c r="C52" s="293"/>
      <c r="D52" s="10"/>
      <c r="E52" s="293" t="s">
        <v>340</v>
      </c>
      <c r="F52" s="293" t="s">
        <v>342</v>
      </c>
      <c r="G52" s="293"/>
      <c r="H52" s="293" t="s">
        <v>340</v>
      </c>
      <c r="I52" s="293" t="s">
        <v>342</v>
      </c>
      <c r="J52" s="10"/>
      <c r="K52" s="10"/>
      <c r="L52" s="10"/>
      <c r="M52" s="452" t="s">
        <v>471</v>
      </c>
      <c r="N52" s="10"/>
      <c r="O52" s="10"/>
      <c r="P52" s="10"/>
      <c r="Q52" s="10"/>
      <c r="R52" s="272"/>
      <c r="S52" s="456"/>
      <c r="T52" s="313"/>
      <c r="U52" s="98"/>
      <c r="V52" s="98"/>
      <c r="W52" s="98"/>
      <c r="X52" s="98"/>
      <c r="Y52" s="98"/>
      <c r="Z52" s="98"/>
    </row>
    <row r="53" spans="1:34" ht="12.75" hidden="1" customHeight="1" x14ac:dyDescent="0.2">
      <c r="A53" s="488"/>
      <c r="B53" s="491"/>
      <c r="C53" s="492"/>
      <c r="D53" s="491"/>
      <c r="E53" s="293"/>
      <c r="F53" s="293"/>
      <c r="G53" s="491">
        <f t="shared" ref="G53:I96" si="14">D54</f>
        <v>0</v>
      </c>
      <c r="H53" s="293"/>
      <c r="I53" s="293"/>
      <c r="J53" s="10"/>
      <c r="K53" s="10"/>
      <c r="L53" s="10"/>
      <c r="M53" s="10"/>
      <c r="N53" s="10"/>
      <c r="O53" s="10"/>
      <c r="P53" s="10"/>
      <c r="Q53" s="10"/>
      <c r="R53" s="272"/>
      <c r="S53" s="456"/>
      <c r="T53" s="313"/>
      <c r="U53" s="98"/>
      <c r="V53" s="98"/>
      <c r="W53" s="98"/>
      <c r="X53" s="98"/>
      <c r="Y53" s="98"/>
      <c r="Z53" s="98"/>
    </row>
    <row r="54" spans="1:34" ht="12.75" hidden="1" customHeight="1" x14ac:dyDescent="0.2">
      <c r="A54" s="487"/>
      <c r="B54" s="491"/>
      <c r="C54" s="493"/>
      <c r="D54" s="491">
        <v>0</v>
      </c>
      <c r="E54" s="98"/>
      <c r="F54" s="98"/>
      <c r="G54" s="491">
        <f t="shared" si="14"/>
        <v>3.8</v>
      </c>
      <c r="H54" s="494">
        <f t="shared" si="14"/>
        <v>13</v>
      </c>
      <c r="I54" s="491" t="str">
        <f t="shared" si="14"/>
        <v>52-55179</v>
      </c>
      <c r="J54" s="10"/>
      <c r="K54" s="472">
        <f>D30</f>
        <v>45</v>
      </c>
      <c r="L54" s="452" t="s">
        <v>472</v>
      </c>
      <c r="M54" s="10" t="s">
        <v>462</v>
      </c>
      <c r="N54" s="10"/>
      <c r="O54" s="10"/>
      <c r="P54" s="10"/>
      <c r="Q54" s="10"/>
      <c r="R54" s="272"/>
      <c r="S54" s="456"/>
      <c r="T54" s="313"/>
      <c r="U54" s="98"/>
      <c r="V54" s="98"/>
      <c r="W54" s="98"/>
      <c r="X54" s="98"/>
      <c r="Y54" s="98"/>
      <c r="Z54" s="98"/>
      <c r="AC54" s="10"/>
      <c r="AD54" s="10"/>
      <c r="AE54" s="10"/>
      <c r="AF54" s="10"/>
      <c r="AG54" s="10"/>
      <c r="AH54" s="10"/>
    </row>
    <row r="55" spans="1:34" ht="12.75" hidden="1" customHeight="1" x14ac:dyDescent="0.2">
      <c r="A55" s="487"/>
      <c r="B55" s="491"/>
      <c r="C55" s="493">
        <v>3820</v>
      </c>
      <c r="D55" s="491">
        <v>3.8</v>
      </c>
      <c r="E55" s="98">
        <v>13</v>
      </c>
      <c r="F55" s="98" t="s">
        <v>473</v>
      </c>
      <c r="G55" s="491">
        <f t="shared" si="14"/>
        <v>3.9</v>
      </c>
      <c r="H55" s="494">
        <f t="shared" si="14"/>
        <v>13</v>
      </c>
      <c r="I55" s="491" t="str">
        <f t="shared" si="14"/>
        <v>52-55184</v>
      </c>
      <c r="J55" s="10"/>
      <c r="K55" s="495">
        <f>E30</f>
        <v>49</v>
      </c>
      <c r="L55" s="452" t="s">
        <v>474</v>
      </c>
      <c r="M55" s="10" t="s">
        <v>475</v>
      </c>
      <c r="N55" s="10"/>
      <c r="O55" s="10"/>
      <c r="P55" s="10"/>
      <c r="Q55" s="10"/>
      <c r="R55" s="272"/>
      <c r="S55" s="456"/>
      <c r="T55" s="313"/>
      <c r="U55" s="98"/>
      <c r="V55" s="98"/>
      <c r="W55" s="98"/>
      <c r="X55" s="98"/>
      <c r="Y55" s="98"/>
      <c r="Z55" s="98"/>
      <c r="AC55" s="10"/>
      <c r="AD55" s="98"/>
      <c r="AE55" s="98"/>
      <c r="AF55" s="98"/>
      <c r="AG55" s="10"/>
      <c r="AH55" s="10"/>
    </row>
    <row r="56" spans="1:34" ht="12.75" hidden="1" customHeight="1" x14ac:dyDescent="0.2">
      <c r="A56" s="487"/>
      <c r="B56" s="491"/>
      <c r="C56" s="98">
        <v>3931</v>
      </c>
      <c r="D56" s="491">
        <v>3.9</v>
      </c>
      <c r="E56" s="98">
        <v>13</v>
      </c>
      <c r="F56" s="98" t="s">
        <v>476</v>
      </c>
      <c r="G56" s="491">
        <f t="shared" si="14"/>
        <v>4</v>
      </c>
      <c r="H56" s="494">
        <f t="shared" si="14"/>
        <v>13</v>
      </c>
      <c r="I56" s="491" t="str">
        <f t="shared" si="14"/>
        <v>52-55189</v>
      </c>
      <c r="J56" s="10"/>
      <c r="K56" s="495" t="str">
        <f>F30</f>
        <v>52-66407H</v>
      </c>
      <c r="L56" s="452" t="s">
        <v>477</v>
      </c>
      <c r="M56" s="496" t="s">
        <v>478</v>
      </c>
      <c r="N56" s="10"/>
      <c r="O56" s="10"/>
      <c r="P56" s="10"/>
      <c r="Q56" s="10"/>
      <c r="R56" s="272"/>
      <c r="S56" s="456"/>
      <c r="T56" s="313"/>
      <c r="U56" s="98"/>
      <c r="V56" s="98"/>
      <c r="W56" s="98"/>
      <c r="X56" s="98"/>
      <c r="Y56" s="98"/>
      <c r="Z56" s="98"/>
      <c r="AC56" s="10"/>
      <c r="AD56" s="98"/>
      <c r="AE56" s="98"/>
      <c r="AF56" s="98"/>
      <c r="AG56" s="10"/>
      <c r="AH56" s="10"/>
    </row>
    <row r="57" spans="1:34" ht="12.75" hidden="1" customHeight="1" x14ac:dyDescent="0.2">
      <c r="A57" s="487"/>
      <c r="B57" s="491"/>
      <c r="C57" s="98">
        <v>4049</v>
      </c>
      <c r="D57" s="491">
        <v>4</v>
      </c>
      <c r="E57" s="98">
        <v>13</v>
      </c>
      <c r="F57" s="98" t="s">
        <v>479</v>
      </c>
      <c r="G57" s="491">
        <f t="shared" si="14"/>
        <v>4.2</v>
      </c>
      <c r="H57" s="494">
        <f t="shared" si="14"/>
        <v>13</v>
      </c>
      <c r="I57" s="491" t="str">
        <f t="shared" si="14"/>
        <v>52-55194</v>
      </c>
      <c r="J57" s="10"/>
      <c r="K57" s="490">
        <f>G30</f>
        <v>45</v>
      </c>
      <c r="L57" s="205" t="s">
        <v>480</v>
      </c>
      <c r="M57" s="10" t="s">
        <v>481</v>
      </c>
      <c r="N57" s="10"/>
      <c r="O57" s="10"/>
      <c r="P57" s="10"/>
      <c r="Q57" s="10"/>
      <c r="R57" s="272"/>
      <c r="S57" s="456"/>
      <c r="T57" s="313"/>
      <c r="U57" s="98"/>
      <c r="V57" s="98"/>
      <c r="W57" s="98"/>
      <c r="X57" s="98"/>
      <c r="Y57" s="98"/>
      <c r="Z57" s="98"/>
      <c r="AC57" s="10"/>
      <c r="AD57" s="98"/>
      <c r="AE57" s="98"/>
      <c r="AF57" s="98"/>
      <c r="AG57" s="10"/>
      <c r="AH57" s="10"/>
    </row>
    <row r="58" spans="1:34" ht="12.75" hidden="1" customHeight="1" x14ac:dyDescent="0.2">
      <c r="A58" s="487"/>
      <c r="B58" s="491"/>
      <c r="C58" s="98">
        <v>4199</v>
      </c>
      <c r="D58" s="491">
        <v>4.2</v>
      </c>
      <c r="E58" s="98">
        <v>13</v>
      </c>
      <c r="F58" s="98" t="s">
        <v>482</v>
      </c>
      <c r="G58" s="491">
        <f t="shared" si="14"/>
        <v>4.4000000000000004</v>
      </c>
      <c r="H58" s="494">
        <f t="shared" si="14"/>
        <v>13</v>
      </c>
      <c r="I58" s="491" t="str">
        <f t="shared" si="14"/>
        <v>52-55200</v>
      </c>
      <c r="J58" s="10"/>
      <c r="K58" s="10"/>
      <c r="L58" s="10"/>
      <c r="M58" s="10"/>
      <c r="N58" s="10"/>
      <c r="O58" s="10"/>
      <c r="P58" s="10"/>
      <c r="Q58" s="10"/>
      <c r="R58" s="272"/>
      <c r="S58" s="456"/>
      <c r="T58" s="313"/>
      <c r="U58" s="98"/>
      <c r="V58" s="98"/>
      <c r="W58" s="98"/>
      <c r="X58" s="98"/>
      <c r="Y58" s="98"/>
      <c r="Z58" s="98"/>
      <c r="AC58" s="10"/>
      <c r="AD58" s="98"/>
      <c r="AE58" s="98"/>
      <c r="AF58" s="98"/>
      <c r="AG58" s="10"/>
      <c r="AH58" s="10"/>
    </row>
    <row r="59" spans="1:34" ht="12.75" hidden="1" customHeight="1" x14ac:dyDescent="0.2">
      <c r="A59" s="487"/>
      <c r="B59" s="491"/>
      <c r="C59" s="98">
        <v>4399</v>
      </c>
      <c r="D59" s="491">
        <v>4.4000000000000004</v>
      </c>
      <c r="E59" s="98">
        <v>13</v>
      </c>
      <c r="F59" s="98" t="s">
        <v>483</v>
      </c>
      <c r="G59" s="491">
        <f t="shared" si="14"/>
        <v>4.5999999999999996</v>
      </c>
      <c r="H59" s="494">
        <f t="shared" si="14"/>
        <v>14</v>
      </c>
      <c r="I59" s="491" t="str">
        <f t="shared" si="14"/>
        <v>52-55206</v>
      </c>
      <c r="J59" s="10"/>
      <c r="K59" s="10"/>
      <c r="L59" s="10"/>
      <c r="M59" s="10"/>
      <c r="N59" s="10"/>
      <c r="O59" s="10"/>
      <c r="P59" s="10"/>
      <c r="Q59" s="10"/>
      <c r="R59" s="272"/>
      <c r="S59" s="456"/>
      <c r="T59" s="313"/>
      <c r="U59" s="98"/>
      <c r="V59" s="98"/>
      <c r="W59" s="98"/>
      <c r="X59" s="98"/>
      <c r="Y59" s="98"/>
      <c r="Z59" s="98"/>
      <c r="AC59" s="10"/>
      <c r="AD59" s="98"/>
      <c r="AE59" s="98"/>
      <c r="AF59" s="98"/>
      <c r="AG59" s="10"/>
      <c r="AH59" s="10"/>
    </row>
    <row r="60" spans="1:34" ht="12.75" hidden="1" customHeight="1" x14ac:dyDescent="0.2">
      <c r="A60" s="487"/>
      <c r="B60" s="491"/>
      <c r="C60" s="98">
        <v>4640</v>
      </c>
      <c r="D60" s="491">
        <v>4.5999999999999996</v>
      </c>
      <c r="E60" s="98">
        <v>14</v>
      </c>
      <c r="F60" s="98" t="s">
        <v>484</v>
      </c>
      <c r="G60" s="491">
        <f t="shared" si="14"/>
        <v>5</v>
      </c>
      <c r="H60" s="494">
        <f t="shared" si="14"/>
        <v>14</v>
      </c>
      <c r="I60" s="491" t="str">
        <f t="shared" si="14"/>
        <v>52-55213</v>
      </c>
      <c r="J60" s="10"/>
      <c r="K60" s="10" t="s">
        <v>485</v>
      </c>
      <c r="L60" s="10"/>
      <c r="M60" s="10"/>
      <c r="N60" s="10"/>
      <c r="O60" s="10"/>
      <c r="P60" s="10"/>
      <c r="Q60" s="10"/>
      <c r="R60" s="272"/>
      <c r="S60" s="456"/>
      <c r="T60" s="313"/>
      <c r="U60" s="98"/>
      <c r="V60" s="98"/>
      <c r="W60" s="98"/>
      <c r="X60" s="98"/>
      <c r="Y60" s="98"/>
      <c r="Z60" s="98"/>
      <c r="AC60" s="10"/>
      <c r="AD60" s="98"/>
      <c r="AE60" s="98"/>
      <c r="AF60" s="98"/>
      <c r="AG60" s="10"/>
      <c r="AH60" s="10"/>
    </row>
    <row r="61" spans="1:34" ht="12.75" hidden="1" customHeight="1" x14ac:dyDescent="0.2">
      <c r="A61" s="487"/>
      <c r="B61" s="491"/>
      <c r="C61" s="98">
        <v>4951</v>
      </c>
      <c r="D61" s="491">
        <v>5</v>
      </c>
      <c r="E61" s="98">
        <v>14</v>
      </c>
      <c r="F61" s="98" t="s">
        <v>486</v>
      </c>
      <c r="G61" s="491">
        <f t="shared" si="14"/>
        <v>5.3</v>
      </c>
      <c r="H61" s="494">
        <f t="shared" si="14"/>
        <v>14</v>
      </c>
      <c r="I61" s="491" t="str">
        <f t="shared" si="14"/>
        <v>52-55220</v>
      </c>
      <c r="J61" s="10"/>
      <c r="K61" s="497"/>
      <c r="L61" s="10"/>
      <c r="M61" s="10"/>
      <c r="N61" s="10"/>
      <c r="O61" s="10"/>
      <c r="P61" s="10"/>
      <c r="Q61" s="10"/>
      <c r="R61" s="272"/>
      <c r="S61" s="456"/>
      <c r="T61" s="313"/>
      <c r="U61" s="98"/>
      <c r="V61" s="98"/>
      <c r="W61" s="98"/>
      <c r="X61" s="98"/>
      <c r="Y61" s="98"/>
      <c r="Z61" s="98"/>
      <c r="AC61" s="10"/>
      <c r="AD61" s="98"/>
      <c r="AE61" s="98"/>
      <c r="AF61" s="98"/>
      <c r="AG61" s="10"/>
      <c r="AH61" s="10"/>
    </row>
    <row r="62" spans="1:34" ht="12.75" hidden="1" customHeight="1" x14ac:dyDescent="0.2">
      <c r="A62" s="482"/>
      <c r="B62" s="491"/>
      <c r="C62" s="98">
        <v>5310</v>
      </c>
      <c r="D62" s="491">
        <v>5.3</v>
      </c>
      <c r="E62" s="98">
        <v>14</v>
      </c>
      <c r="F62" s="98" t="s">
        <v>487</v>
      </c>
      <c r="G62" s="491">
        <f t="shared" si="14"/>
        <v>5.7</v>
      </c>
      <c r="H62" s="494">
        <f t="shared" si="14"/>
        <v>14</v>
      </c>
      <c r="I62" s="491" t="str">
        <f t="shared" si="14"/>
        <v>52-55227</v>
      </c>
      <c r="J62" s="10"/>
      <c r="K62" s="498"/>
      <c r="L62" s="10"/>
      <c r="M62" s="10"/>
      <c r="N62" s="10"/>
      <c r="O62" s="10"/>
      <c r="P62" s="10"/>
      <c r="Q62" s="10"/>
      <c r="R62" s="272"/>
      <c r="S62" s="456"/>
      <c r="T62" s="313"/>
      <c r="U62" s="98"/>
      <c r="V62" s="98"/>
      <c r="W62" s="98"/>
      <c r="X62" s="98"/>
      <c r="Y62" s="98"/>
      <c r="Z62" s="98"/>
      <c r="AC62" s="10"/>
      <c r="AD62" s="98"/>
      <c r="AE62" s="98"/>
      <c r="AF62" s="98"/>
      <c r="AG62" s="10"/>
      <c r="AH62" s="10"/>
    </row>
    <row r="63" spans="1:34" ht="12.75" hidden="1" customHeight="1" x14ac:dyDescent="0.2">
      <c r="A63" s="487"/>
      <c r="B63" s="491"/>
      <c r="C63" s="98">
        <v>5700</v>
      </c>
      <c r="D63" s="491">
        <v>5.7</v>
      </c>
      <c r="E63" s="98">
        <v>14</v>
      </c>
      <c r="F63" s="98" t="s">
        <v>488</v>
      </c>
      <c r="G63" s="491">
        <f t="shared" si="14"/>
        <v>6.2</v>
      </c>
      <c r="H63" s="494">
        <f t="shared" si="14"/>
        <v>14</v>
      </c>
      <c r="I63" s="491" t="str">
        <f t="shared" si="14"/>
        <v>52-55235</v>
      </c>
      <c r="J63" s="10"/>
      <c r="K63" s="499" t="s">
        <v>377</v>
      </c>
      <c r="L63" s="498" t="s">
        <v>489</v>
      </c>
      <c r="M63" s="10"/>
      <c r="N63" s="10"/>
      <c r="O63" s="10"/>
      <c r="P63" s="10"/>
      <c r="Q63" s="10"/>
      <c r="R63" s="272"/>
      <c r="S63" s="456"/>
      <c r="T63" s="313"/>
      <c r="U63" s="98"/>
      <c r="V63" s="98"/>
      <c r="W63" s="98"/>
      <c r="X63" s="98"/>
      <c r="Y63" s="98"/>
      <c r="Z63" s="98"/>
      <c r="AC63" s="10"/>
      <c r="AD63" s="98"/>
      <c r="AE63" s="98"/>
      <c r="AF63" s="98"/>
      <c r="AG63" s="10"/>
      <c r="AH63" s="10"/>
    </row>
    <row r="64" spans="1:34" ht="12.75" hidden="1" customHeight="1" x14ac:dyDescent="0.2">
      <c r="A64" s="487"/>
      <c r="B64" s="491"/>
      <c r="C64" s="98">
        <v>6209</v>
      </c>
      <c r="D64" s="491">
        <v>6.2</v>
      </c>
      <c r="E64" s="98">
        <v>14</v>
      </c>
      <c r="F64" s="98" t="s">
        <v>490</v>
      </c>
      <c r="G64" s="491">
        <f t="shared" si="14"/>
        <v>6.5</v>
      </c>
      <c r="H64" s="494">
        <f t="shared" si="14"/>
        <v>14</v>
      </c>
      <c r="I64" s="491" t="str">
        <f t="shared" si="14"/>
        <v>52-55243</v>
      </c>
      <c r="J64" s="10"/>
      <c r="K64" s="466">
        <v>50</v>
      </c>
      <c r="L64" s="452" t="s">
        <v>491</v>
      </c>
      <c r="M64" s="10"/>
      <c r="N64" s="10"/>
      <c r="O64" s="10"/>
      <c r="P64" s="10"/>
      <c r="Q64" s="10"/>
      <c r="R64" s="272"/>
      <c r="S64" s="456"/>
      <c r="T64" s="313"/>
      <c r="U64" s="98"/>
      <c r="V64" s="98"/>
      <c r="W64" s="98"/>
      <c r="X64" s="98"/>
      <c r="Y64" s="98"/>
      <c r="Z64" s="98"/>
      <c r="AC64" s="10"/>
      <c r="AD64" s="98"/>
      <c r="AE64" s="98"/>
      <c r="AF64" s="98"/>
      <c r="AG64" s="10"/>
      <c r="AH64" s="10"/>
    </row>
    <row r="65" spans="1:34" ht="12.75" hidden="1" customHeight="1" x14ac:dyDescent="0.2">
      <c r="A65" s="487"/>
      <c r="B65" s="491"/>
      <c r="C65" s="98">
        <v>6511</v>
      </c>
      <c r="D65" s="491">
        <v>6.5</v>
      </c>
      <c r="E65" s="98">
        <v>14</v>
      </c>
      <c r="F65" s="98" t="s">
        <v>492</v>
      </c>
      <c r="G65" s="491">
        <f t="shared" si="14"/>
        <v>7.1</v>
      </c>
      <c r="H65" s="494">
        <f t="shared" si="14"/>
        <v>14</v>
      </c>
      <c r="I65" s="491" t="str">
        <f t="shared" si="14"/>
        <v>52-55251</v>
      </c>
      <c r="J65" s="10"/>
      <c r="K65" s="21">
        <v>65</v>
      </c>
      <c r="L65" s="485" t="s">
        <v>493</v>
      </c>
      <c r="M65" s="10"/>
      <c r="N65" s="10"/>
      <c r="O65" s="10"/>
      <c r="P65" s="10"/>
      <c r="Q65" s="10"/>
      <c r="R65" s="272"/>
      <c r="S65" s="456"/>
      <c r="T65" s="313"/>
      <c r="U65" s="98"/>
      <c r="V65" s="98"/>
      <c r="W65" s="98"/>
      <c r="X65" s="98"/>
      <c r="Y65" s="98"/>
      <c r="Z65" s="98"/>
      <c r="AC65" s="10"/>
      <c r="AD65" s="98"/>
      <c r="AE65" s="98"/>
      <c r="AF65" s="98"/>
      <c r="AG65" s="10"/>
      <c r="AH65" s="10"/>
    </row>
    <row r="66" spans="1:34" ht="12.75" hidden="1" customHeight="1" x14ac:dyDescent="0.2">
      <c r="A66" s="487"/>
      <c r="B66" s="491"/>
      <c r="C66" s="98">
        <v>7081</v>
      </c>
      <c r="D66" s="491">
        <v>7.1</v>
      </c>
      <c r="E66" s="98">
        <v>14</v>
      </c>
      <c r="F66" s="98" t="s">
        <v>494</v>
      </c>
      <c r="G66" s="491">
        <f t="shared" si="14"/>
        <v>7.9</v>
      </c>
      <c r="H66" s="494">
        <f t="shared" si="14"/>
        <v>15</v>
      </c>
      <c r="I66" s="491" t="str">
        <f t="shared" si="14"/>
        <v>52-55260</v>
      </c>
      <c r="J66" s="10"/>
      <c r="K66" s="466">
        <v>80</v>
      </c>
      <c r="L66" s="205" t="s">
        <v>495</v>
      </c>
      <c r="M66" s="10"/>
      <c r="N66" s="10"/>
      <c r="O66" s="10"/>
      <c r="P66" s="10"/>
      <c r="Q66" s="10"/>
      <c r="R66" s="272"/>
      <c r="S66" s="456"/>
      <c r="T66" s="313"/>
      <c r="U66" s="98"/>
      <c r="V66" s="98"/>
      <c r="W66" s="98"/>
      <c r="X66" s="98"/>
      <c r="Y66" s="98"/>
      <c r="Z66" s="98"/>
      <c r="AC66" s="10"/>
      <c r="AD66" s="98"/>
      <c r="AE66" s="98"/>
      <c r="AF66" s="98"/>
      <c r="AG66" s="10"/>
      <c r="AH66" s="10"/>
    </row>
    <row r="67" spans="1:34" ht="12.75" hidden="1" customHeight="1" x14ac:dyDescent="0.2">
      <c r="A67" s="487"/>
      <c r="B67" s="491"/>
      <c r="C67" s="98">
        <v>7901</v>
      </c>
      <c r="D67" s="491">
        <v>7.9</v>
      </c>
      <c r="E67" s="98">
        <v>15</v>
      </c>
      <c r="F67" s="98" t="s">
        <v>496</v>
      </c>
      <c r="G67" s="491">
        <f t="shared" si="14"/>
        <v>8.9</v>
      </c>
      <c r="H67" s="494">
        <f t="shared" si="14"/>
        <v>16</v>
      </c>
      <c r="I67" s="491" t="str">
        <f t="shared" si="14"/>
        <v>52-55269</v>
      </c>
      <c r="J67" s="10"/>
      <c r="K67" s="21">
        <v>100</v>
      </c>
      <c r="L67" s="205" t="s">
        <v>497</v>
      </c>
      <c r="M67" s="10"/>
      <c r="N67" s="10"/>
      <c r="O67" s="10"/>
      <c r="P67" s="10"/>
      <c r="Q67" s="10"/>
      <c r="R67" s="272"/>
      <c r="S67" s="456"/>
      <c r="T67" s="313"/>
      <c r="U67" s="98"/>
      <c r="V67" s="98"/>
      <c r="W67" s="98"/>
      <c r="X67" s="98"/>
      <c r="Y67" s="98"/>
      <c r="Z67" s="98"/>
      <c r="AC67" s="10"/>
      <c r="AD67" s="98"/>
      <c r="AE67" s="98"/>
      <c r="AF67" s="98"/>
      <c r="AG67" s="10"/>
      <c r="AH67" s="10"/>
    </row>
    <row r="68" spans="1:34" ht="12.75" hidden="1" customHeight="1" x14ac:dyDescent="0.2">
      <c r="A68" s="487"/>
      <c r="B68" s="491"/>
      <c r="C68" s="98">
        <v>8900</v>
      </c>
      <c r="D68" s="491">
        <v>8.9</v>
      </c>
      <c r="E68" s="98">
        <v>16</v>
      </c>
      <c r="F68" s="98" t="s">
        <v>498</v>
      </c>
      <c r="G68" s="491">
        <f t="shared" si="14"/>
        <v>10.4</v>
      </c>
      <c r="H68" s="494">
        <f t="shared" si="14"/>
        <v>19</v>
      </c>
      <c r="I68" s="491" t="str">
        <f t="shared" si="14"/>
        <v>52-55279</v>
      </c>
      <c r="J68" s="10"/>
      <c r="K68" s="466">
        <v>125</v>
      </c>
      <c r="L68" s="205" t="s">
        <v>499</v>
      </c>
      <c r="M68" s="10"/>
      <c r="N68" s="10"/>
      <c r="O68" s="10"/>
      <c r="P68" s="10"/>
      <c r="Q68" s="10"/>
      <c r="R68" s="272"/>
      <c r="S68" s="456"/>
      <c r="T68" s="313"/>
      <c r="U68" s="98"/>
      <c r="V68" s="98"/>
      <c r="W68" s="98"/>
      <c r="X68" s="98"/>
      <c r="Y68" s="98"/>
      <c r="Z68" s="98"/>
      <c r="AC68" s="10"/>
      <c r="AD68" s="98"/>
      <c r="AE68" s="98"/>
      <c r="AF68" s="98"/>
      <c r="AG68" s="10"/>
      <c r="AH68" s="10"/>
    </row>
    <row r="69" spans="1:34" ht="12.75" hidden="1" customHeight="1" x14ac:dyDescent="0.2">
      <c r="A69" s="487"/>
      <c r="B69" s="491"/>
      <c r="C69" s="98">
        <v>10399</v>
      </c>
      <c r="D69" s="491">
        <v>10.4</v>
      </c>
      <c r="E69" s="98">
        <v>19</v>
      </c>
      <c r="F69" s="98" t="s">
        <v>500</v>
      </c>
      <c r="G69" s="491">
        <f t="shared" si="14"/>
        <v>11.4</v>
      </c>
      <c r="H69" s="494">
        <f t="shared" si="14"/>
        <v>22</v>
      </c>
      <c r="I69" s="491" t="str">
        <f t="shared" si="14"/>
        <v>52-55287</v>
      </c>
      <c r="J69" s="10"/>
      <c r="K69" s="21">
        <v>150</v>
      </c>
      <c r="L69" s="205" t="s">
        <v>501</v>
      </c>
      <c r="M69" s="10"/>
      <c r="N69" s="10"/>
      <c r="O69" s="10"/>
      <c r="P69" s="10"/>
      <c r="Q69" s="10"/>
      <c r="R69" s="272"/>
      <c r="S69" s="456"/>
      <c r="T69" s="313"/>
      <c r="U69" s="98"/>
      <c r="V69" s="98"/>
      <c r="W69" s="98"/>
      <c r="X69" s="98"/>
      <c r="Y69" s="98"/>
      <c r="Z69" s="98"/>
      <c r="AC69" s="10"/>
      <c r="AD69" s="98"/>
      <c r="AE69" s="98"/>
      <c r="AF69" s="98"/>
      <c r="AG69" s="10"/>
      <c r="AH69" s="10"/>
    </row>
    <row r="70" spans="1:34" ht="12.75" hidden="1" customHeight="1" x14ac:dyDescent="0.2">
      <c r="A70" s="487"/>
      <c r="B70" s="491"/>
      <c r="C70" s="98">
        <v>11355</v>
      </c>
      <c r="D70" s="491">
        <v>11.4</v>
      </c>
      <c r="E70" s="98">
        <v>22</v>
      </c>
      <c r="F70" s="98" t="s">
        <v>502</v>
      </c>
      <c r="G70" s="491">
        <f t="shared" si="14"/>
        <v>12.5</v>
      </c>
      <c r="H70" s="494">
        <f t="shared" si="14"/>
        <v>23</v>
      </c>
      <c r="I70" s="491" t="str">
        <f t="shared" si="14"/>
        <v>52-55292</v>
      </c>
      <c r="J70" s="10"/>
      <c r="K70" s="466">
        <v>200</v>
      </c>
      <c r="L70" s="205" t="s">
        <v>503</v>
      </c>
      <c r="M70" s="10"/>
      <c r="N70" s="10"/>
      <c r="O70" s="10"/>
      <c r="P70" s="10"/>
      <c r="Q70" s="10"/>
      <c r="R70" s="272"/>
      <c r="S70" s="456"/>
      <c r="T70" s="313"/>
      <c r="U70" s="98"/>
      <c r="V70" s="98"/>
      <c r="W70" s="98"/>
      <c r="X70" s="98"/>
      <c r="Y70" s="98"/>
      <c r="Z70" s="98"/>
      <c r="AC70" s="10"/>
      <c r="AD70" s="98"/>
      <c r="AE70" s="98"/>
      <c r="AF70" s="98"/>
      <c r="AG70" s="10"/>
      <c r="AH70" s="10"/>
    </row>
    <row r="71" spans="1:34" ht="12.75" hidden="1" customHeight="1" x14ac:dyDescent="0.2">
      <c r="A71" s="487"/>
      <c r="B71" s="491"/>
      <c r="C71" s="98">
        <v>12491</v>
      </c>
      <c r="D71" s="491">
        <v>12.5</v>
      </c>
      <c r="E71" s="98">
        <v>23</v>
      </c>
      <c r="F71" s="98" t="s">
        <v>504</v>
      </c>
      <c r="G71" s="491">
        <f t="shared" si="14"/>
        <v>13.4</v>
      </c>
      <c r="H71" s="494">
        <f t="shared" si="14"/>
        <v>24</v>
      </c>
      <c r="I71" s="491" t="str">
        <f t="shared" si="14"/>
        <v>52-55298</v>
      </c>
      <c r="J71" s="10"/>
      <c r="K71" s="21">
        <v>250</v>
      </c>
      <c r="L71" s="205" t="s">
        <v>505</v>
      </c>
      <c r="M71" s="10"/>
      <c r="N71" s="10"/>
      <c r="O71" s="10"/>
      <c r="P71" s="10"/>
      <c r="Q71" s="10"/>
      <c r="R71" s="272"/>
      <c r="S71" s="456"/>
      <c r="T71" s="313"/>
      <c r="U71" s="98"/>
      <c r="V71" s="98"/>
      <c r="W71" s="98"/>
      <c r="X71" s="98"/>
      <c r="Y71" s="98"/>
      <c r="Z71" s="98"/>
      <c r="AC71" s="10"/>
      <c r="AD71" s="98"/>
      <c r="AE71" s="98"/>
      <c r="AF71" s="98"/>
      <c r="AG71" s="10"/>
      <c r="AH71" s="10"/>
    </row>
    <row r="72" spans="1:34" ht="12.75" hidden="1" customHeight="1" x14ac:dyDescent="0.2">
      <c r="A72" s="487"/>
      <c r="B72" s="491"/>
      <c r="C72" s="98">
        <v>13399</v>
      </c>
      <c r="D72" s="491">
        <v>13.4</v>
      </c>
      <c r="E72" s="98">
        <v>24</v>
      </c>
      <c r="F72" s="98" t="s">
        <v>506</v>
      </c>
      <c r="G72" s="491">
        <f t="shared" si="14"/>
        <v>14.8</v>
      </c>
      <c r="H72" s="494">
        <f t="shared" si="14"/>
        <v>27</v>
      </c>
      <c r="I72" s="491" t="str">
        <f t="shared" si="14"/>
        <v>52-55303</v>
      </c>
      <c r="J72" s="10"/>
      <c r="K72" s="466">
        <v>300</v>
      </c>
      <c r="L72" s="205" t="s">
        <v>507</v>
      </c>
      <c r="M72" s="10"/>
      <c r="N72" s="10"/>
      <c r="O72" s="10"/>
      <c r="P72" s="10"/>
      <c r="Q72" s="10"/>
      <c r="R72" s="272"/>
      <c r="S72" s="456"/>
      <c r="T72" s="313"/>
      <c r="U72" s="98"/>
      <c r="V72" s="98"/>
      <c r="W72" s="98"/>
      <c r="X72" s="98"/>
      <c r="Y72" s="98"/>
      <c r="Z72" s="98"/>
      <c r="AC72" s="10"/>
      <c r="AD72" s="98"/>
      <c r="AE72" s="98"/>
      <c r="AF72" s="98"/>
      <c r="AG72" s="10"/>
      <c r="AH72" s="10"/>
    </row>
    <row r="73" spans="1:34" ht="12.75" hidden="1" customHeight="1" x14ac:dyDescent="0.2">
      <c r="A73" s="487"/>
      <c r="B73" s="491"/>
      <c r="C73" s="98">
        <v>14762</v>
      </c>
      <c r="D73" s="491">
        <v>14.8</v>
      </c>
      <c r="E73" s="98">
        <v>27</v>
      </c>
      <c r="F73" s="98" t="s">
        <v>508</v>
      </c>
      <c r="G73" s="491">
        <f t="shared" si="14"/>
        <v>16</v>
      </c>
      <c r="H73" s="494">
        <f t="shared" si="14"/>
        <v>29</v>
      </c>
      <c r="I73" s="491" t="str">
        <f t="shared" si="14"/>
        <v>52-55308</v>
      </c>
      <c r="J73" s="10"/>
      <c r="K73" s="21">
        <v>350</v>
      </c>
      <c r="L73" s="205" t="s">
        <v>509</v>
      </c>
      <c r="M73" s="10"/>
      <c r="N73" s="10"/>
      <c r="O73" s="10"/>
      <c r="P73" s="10"/>
      <c r="Q73" s="10"/>
      <c r="R73" s="272"/>
      <c r="S73" s="456"/>
      <c r="T73" s="313"/>
      <c r="U73" s="98"/>
      <c r="V73" s="98"/>
      <c r="W73" s="98"/>
      <c r="X73" s="98"/>
      <c r="Y73" s="98"/>
      <c r="Z73" s="98"/>
      <c r="AC73" s="10"/>
      <c r="AD73" s="98"/>
      <c r="AE73" s="98"/>
      <c r="AF73" s="98"/>
      <c r="AG73" s="10"/>
      <c r="AH73" s="10"/>
    </row>
    <row r="74" spans="1:34" ht="12.75" hidden="1" customHeight="1" x14ac:dyDescent="0.2">
      <c r="A74" s="487"/>
      <c r="B74" s="491"/>
      <c r="C74" s="98">
        <v>15999</v>
      </c>
      <c r="D74" s="491">
        <v>16</v>
      </c>
      <c r="E74" s="98">
        <v>29</v>
      </c>
      <c r="F74" s="98" t="s">
        <v>510</v>
      </c>
      <c r="G74" s="491">
        <f t="shared" si="14"/>
        <v>17</v>
      </c>
      <c r="H74" s="494">
        <f t="shared" si="14"/>
        <v>34</v>
      </c>
      <c r="I74" s="491" t="str">
        <f t="shared" si="14"/>
        <v>52-66285</v>
      </c>
      <c r="J74" s="10"/>
      <c r="K74" s="466">
        <v>400</v>
      </c>
      <c r="L74" s="205" t="s">
        <v>511</v>
      </c>
      <c r="M74" s="10"/>
      <c r="N74" s="10"/>
      <c r="O74" s="10"/>
      <c r="P74" s="10"/>
      <c r="Q74" s="10"/>
      <c r="R74" s="272"/>
      <c r="S74" s="456"/>
      <c r="T74" s="313"/>
      <c r="U74" s="98"/>
      <c r="V74" s="98"/>
      <c r="W74" s="98"/>
      <c r="X74" s="98"/>
      <c r="Y74" s="98"/>
      <c r="Z74" s="98"/>
      <c r="AC74" s="10"/>
      <c r="AD74" s="98"/>
      <c r="AE74" s="98"/>
      <c r="AF74" s="98"/>
      <c r="AG74" s="10"/>
      <c r="AH74" s="10"/>
    </row>
    <row r="75" spans="1:34" ht="12.75" hidden="1" customHeight="1" x14ac:dyDescent="0.2">
      <c r="A75" s="487"/>
      <c r="B75" s="491"/>
      <c r="C75" s="98">
        <v>17037</v>
      </c>
      <c r="D75" s="491">
        <v>17</v>
      </c>
      <c r="E75" s="98">
        <v>34</v>
      </c>
      <c r="F75" s="98" t="s">
        <v>512</v>
      </c>
      <c r="G75" s="491">
        <f t="shared" si="14"/>
        <v>18.100000000000001</v>
      </c>
      <c r="H75" s="494">
        <f t="shared" si="14"/>
        <v>34</v>
      </c>
      <c r="I75" s="491" t="str">
        <f t="shared" si="14"/>
        <v>52-66292</v>
      </c>
      <c r="J75" s="10"/>
      <c r="K75" s="21">
        <v>450</v>
      </c>
      <c r="L75" s="205" t="s">
        <v>513</v>
      </c>
      <c r="M75" s="10"/>
      <c r="N75" s="10"/>
      <c r="O75" s="10"/>
      <c r="P75" s="10"/>
      <c r="Q75" s="10"/>
      <c r="R75" s="272"/>
      <c r="S75" s="456"/>
      <c r="T75" s="313"/>
      <c r="U75" s="98"/>
      <c r="V75" s="98"/>
      <c r="W75" s="98"/>
      <c r="X75" s="98"/>
      <c r="Y75" s="98"/>
      <c r="Z75" s="98"/>
      <c r="AC75" s="10"/>
      <c r="AD75" s="98"/>
      <c r="AE75" s="98"/>
      <c r="AF75" s="98"/>
      <c r="AG75" s="10"/>
      <c r="AH75" s="10"/>
    </row>
    <row r="76" spans="1:34" ht="12.75" hidden="1" customHeight="1" x14ac:dyDescent="0.2">
      <c r="A76" s="487"/>
      <c r="B76" s="491"/>
      <c r="C76" s="98">
        <v>18148</v>
      </c>
      <c r="D76" s="491">
        <v>18.100000000000001</v>
      </c>
      <c r="E76" s="98">
        <v>34</v>
      </c>
      <c r="F76" s="98" t="s">
        <v>514</v>
      </c>
      <c r="G76" s="491">
        <f t="shared" si="14"/>
        <v>18.8</v>
      </c>
      <c r="H76" s="494">
        <f t="shared" si="14"/>
        <v>35</v>
      </c>
      <c r="I76" s="491" t="str">
        <f t="shared" si="14"/>
        <v>52-66301</v>
      </c>
      <c r="J76" s="10"/>
      <c r="K76" s="466">
        <v>500</v>
      </c>
      <c r="L76" s="205" t="s">
        <v>515</v>
      </c>
      <c r="M76" s="10"/>
      <c r="N76" s="10"/>
      <c r="O76" s="10"/>
      <c r="P76" s="10"/>
      <c r="Q76" s="10"/>
      <c r="R76" s="272"/>
      <c r="S76" s="456"/>
      <c r="T76" s="313"/>
      <c r="U76" s="98"/>
      <c r="V76" s="98"/>
      <c r="W76" s="98"/>
      <c r="X76" s="98"/>
      <c r="Y76" s="98"/>
      <c r="Z76" s="98"/>
      <c r="AC76" s="10"/>
      <c r="AD76" s="98"/>
      <c r="AE76" s="98"/>
      <c r="AF76" s="98"/>
      <c r="AG76" s="10"/>
      <c r="AH76" s="10"/>
    </row>
    <row r="77" spans="1:34" ht="12.75" hidden="1" customHeight="1" x14ac:dyDescent="0.2">
      <c r="A77" s="487"/>
      <c r="B77" s="491"/>
      <c r="C77" s="98">
        <v>18797</v>
      </c>
      <c r="D77" s="491">
        <v>18.8</v>
      </c>
      <c r="E77" s="98">
        <v>35</v>
      </c>
      <c r="F77" s="98" t="s">
        <v>516</v>
      </c>
      <c r="G77" s="491">
        <f t="shared" si="14"/>
        <v>19.5</v>
      </c>
      <c r="H77" s="494">
        <f t="shared" si="14"/>
        <v>35</v>
      </c>
      <c r="I77" s="491" t="str">
        <f t="shared" si="14"/>
        <v>52-66305</v>
      </c>
      <c r="J77" s="10"/>
      <c r="K77" s="21">
        <v>600</v>
      </c>
      <c r="L77" s="205" t="s">
        <v>517</v>
      </c>
      <c r="M77" s="10"/>
      <c r="N77" s="10"/>
      <c r="O77" s="10"/>
      <c r="P77" s="10"/>
      <c r="Q77" s="10"/>
      <c r="R77" s="272"/>
      <c r="S77" s="456"/>
      <c r="T77" s="313"/>
      <c r="U77" s="98"/>
      <c r="V77" s="98"/>
      <c r="W77" s="98"/>
      <c r="X77" s="98"/>
      <c r="Y77" s="98"/>
      <c r="Z77" s="98"/>
      <c r="AC77" s="10"/>
      <c r="AD77" s="98"/>
      <c r="AE77" s="98"/>
      <c r="AF77" s="98"/>
      <c r="AG77" s="10"/>
      <c r="AH77" s="10"/>
    </row>
    <row r="78" spans="1:34" ht="12.75" hidden="1" customHeight="1" x14ac:dyDescent="0.2">
      <c r="A78" s="487"/>
      <c r="B78" s="491"/>
      <c r="C78" s="98">
        <v>19467</v>
      </c>
      <c r="D78" s="491">
        <v>19.5</v>
      </c>
      <c r="E78" s="98">
        <v>35</v>
      </c>
      <c r="F78" s="98" t="s">
        <v>518</v>
      </c>
      <c r="G78" s="491">
        <f t="shared" si="14"/>
        <v>20.5</v>
      </c>
      <c r="H78" s="494">
        <f t="shared" si="14"/>
        <v>35</v>
      </c>
      <c r="I78" s="491" t="str">
        <f t="shared" si="14"/>
        <v>52-66312</v>
      </c>
      <c r="J78" s="10"/>
      <c r="K78" s="466">
        <v>800</v>
      </c>
      <c r="L78" s="205" t="s">
        <v>519</v>
      </c>
      <c r="M78" s="10"/>
      <c r="N78" s="10"/>
      <c r="O78" s="10"/>
      <c r="P78" s="10"/>
      <c r="Q78" s="10"/>
      <c r="R78" s="272"/>
      <c r="S78" s="456"/>
      <c r="T78" s="313"/>
      <c r="U78" s="98"/>
      <c r="V78" s="98"/>
      <c r="W78" s="98"/>
      <c r="X78" s="98"/>
      <c r="Y78" s="98"/>
      <c r="Z78" s="98"/>
      <c r="AC78" s="10"/>
      <c r="AD78" s="98"/>
      <c r="AE78" s="98"/>
      <c r="AF78" s="98"/>
      <c r="AG78" s="10"/>
      <c r="AH78" s="10"/>
    </row>
    <row r="79" spans="1:34" ht="12.75" hidden="1" customHeight="1" x14ac:dyDescent="0.2">
      <c r="A79" s="487"/>
      <c r="B79" s="491"/>
      <c r="C79" s="98">
        <v>20464</v>
      </c>
      <c r="D79" s="491">
        <v>20.5</v>
      </c>
      <c r="E79" s="98">
        <v>35</v>
      </c>
      <c r="F79" s="98" t="s">
        <v>520</v>
      </c>
      <c r="G79" s="491">
        <f t="shared" si="14"/>
        <v>21.5</v>
      </c>
      <c r="H79" s="494">
        <f t="shared" si="14"/>
        <v>36</v>
      </c>
      <c r="I79" s="491" t="str">
        <f t="shared" si="14"/>
        <v>52-66319</v>
      </c>
      <c r="J79" s="10"/>
      <c r="K79" s="10"/>
      <c r="L79" s="10"/>
      <c r="M79" s="10"/>
      <c r="N79" s="10"/>
      <c r="O79" s="10"/>
      <c r="P79" s="10"/>
      <c r="Q79" s="10"/>
      <c r="R79" s="272"/>
      <c r="S79" s="456"/>
      <c r="T79" s="313"/>
      <c r="U79" s="98"/>
      <c r="V79" s="98"/>
      <c r="W79" s="98"/>
      <c r="X79" s="98"/>
      <c r="Y79" s="98"/>
      <c r="Z79" s="98"/>
      <c r="AC79" s="10"/>
      <c r="AD79" s="98"/>
      <c r="AE79" s="98"/>
      <c r="AF79" s="98"/>
      <c r="AG79" s="10"/>
      <c r="AH79" s="10"/>
    </row>
    <row r="80" spans="1:34" ht="12.75" hidden="1" customHeight="1" x14ac:dyDescent="0.2">
      <c r="A80" s="487"/>
      <c r="B80" s="491"/>
      <c r="C80" s="98">
        <v>21527</v>
      </c>
      <c r="D80" s="491">
        <v>21.5</v>
      </c>
      <c r="E80" s="98">
        <v>36</v>
      </c>
      <c r="F80" s="98" t="s">
        <v>521</v>
      </c>
      <c r="G80" s="491">
        <f t="shared" si="14"/>
        <v>22.4</v>
      </c>
      <c r="H80" s="494">
        <f t="shared" si="14"/>
        <v>36</v>
      </c>
      <c r="I80" s="491" t="str">
        <f t="shared" si="14"/>
        <v>52-66326</v>
      </c>
      <c r="J80" s="10"/>
      <c r="K80" s="10"/>
      <c r="L80" s="10"/>
      <c r="M80" s="10"/>
      <c r="N80" s="10"/>
      <c r="O80" s="10"/>
      <c r="P80" s="10"/>
      <c r="Q80" s="10"/>
      <c r="R80" s="272"/>
      <c r="S80" s="456"/>
      <c r="T80" s="313"/>
      <c r="U80" s="98"/>
      <c r="V80" s="98"/>
      <c r="W80" s="98"/>
      <c r="X80" s="98"/>
      <c r="Y80" s="98"/>
      <c r="Z80" s="98"/>
      <c r="AC80" s="10"/>
      <c r="AD80" s="98"/>
      <c r="AE80" s="98"/>
      <c r="AF80" s="98"/>
      <c r="AG80" s="10"/>
      <c r="AH80" s="10"/>
    </row>
    <row r="81" spans="1:34" ht="12.75" hidden="1" customHeight="1" x14ac:dyDescent="0.2">
      <c r="A81" s="487"/>
      <c r="B81" s="491"/>
      <c r="C81" s="98">
        <v>22449</v>
      </c>
      <c r="D81" s="491">
        <v>22.4</v>
      </c>
      <c r="E81" s="98">
        <v>36</v>
      </c>
      <c r="F81" s="98" t="s">
        <v>522</v>
      </c>
      <c r="G81" s="491">
        <f t="shared" si="14"/>
        <v>23.5</v>
      </c>
      <c r="H81" s="494">
        <f t="shared" si="14"/>
        <v>36</v>
      </c>
      <c r="I81" s="491" t="str">
        <f t="shared" si="14"/>
        <v>52-66332</v>
      </c>
      <c r="J81" s="10"/>
      <c r="K81" s="10"/>
      <c r="L81" s="10"/>
      <c r="M81" s="10"/>
      <c r="N81" s="10"/>
      <c r="O81" s="10"/>
      <c r="P81" s="10"/>
      <c r="Q81" s="10"/>
      <c r="R81" s="272"/>
      <c r="S81" s="456"/>
      <c r="T81" s="313"/>
      <c r="U81" s="98"/>
      <c r="V81" s="98"/>
      <c r="W81" s="98"/>
      <c r="X81" s="98"/>
      <c r="Y81" s="98"/>
      <c r="Z81" s="98"/>
      <c r="AC81" s="10"/>
      <c r="AD81" s="98"/>
      <c r="AE81" s="98"/>
      <c r="AF81" s="98"/>
      <c r="AG81" s="10"/>
      <c r="AH81" s="10"/>
    </row>
    <row r="82" spans="1:34" ht="12.75" hidden="1" customHeight="1" x14ac:dyDescent="0.2">
      <c r="A82" s="487"/>
      <c r="B82" s="491"/>
      <c r="C82" s="98">
        <v>23482</v>
      </c>
      <c r="D82" s="491">
        <v>23.5</v>
      </c>
      <c r="E82" s="98">
        <v>36</v>
      </c>
      <c r="F82" s="98" t="s">
        <v>523</v>
      </c>
      <c r="G82" s="491">
        <f t="shared" si="14"/>
        <v>24.5</v>
      </c>
      <c r="H82" s="494">
        <f t="shared" si="14"/>
        <v>37</v>
      </c>
      <c r="I82" s="491" t="str">
        <f t="shared" si="14"/>
        <v>52-66338</v>
      </c>
      <c r="J82" s="10"/>
      <c r="K82" s="10"/>
      <c r="L82" s="10"/>
      <c r="M82" s="10"/>
      <c r="N82" s="10"/>
      <c r="O82" s="10"/>
      <c r="P82" s="10"/>
      <c r="Q82" s="10"/>
      <c r="R82" s="272"/>
      <c r="S82" s="456"/>
      <c r="T82" s="313"/>
      <c r="U82" s="98"/>
      <c r="V82" s="98"/>
      <c r="W82" s="98"/>
      <c r="X82" s="98"/>
      <c r="Y82" s="98"/>
      <c r="Z82" s="98"/>
      <c r="AC82" s="10"/>
      <c r="AD82" s="98"/>
      <c r="AE82" s="98"/>
      <c r="AF82" s="98"/>
      <c r="AG82" s="10"/>
      <c r="AH82" s="10"/>
    </row>
    <row r="83" spans="1:34" ht="12.75" hidden="1" customHeight="1" x14ac:dyDescent="0.2">
      <c r="A83" s="487"/>
      <c r="B83" s="491"/>
      <c r="C83" s="98">
        <v>24531</v>
      </c>
      <c r="D83" s="491">
        <v>24.5</v>
      </c>
      <c r="E83" s="98">
        <v>37</v>
      </c>
      <c r="F83" s="98" t="s">
        <v>524</v>
      </c>
      <c r="G83" s="491">
        <f t="shared" si="14"/>
        <v>25.6</v>
      </c>
      <c r="H83" s="494">
        <f t="shared" si="14"/>
        <v>38</v>
      </c>
      <c r="I83" s="491" t="str">
        <f t="shared" si="14"/>
        <v>52-66344</v>
      </c>
      <c r="J83" s="10"/>
      <c r="K83" s="10"/>
      <c r="L83" s="10"/>
      <c r="M83" s="10"/>
      <c r="N83" s="10"/>
      <c r="O83" s="10"/>
      <c r="P83" s="10"/>
      <c r="Q83" s="10"/>
      <c r="R83" s="272"/>
      <c r="S83" s="158"/>
      <c r="T83" s="313"/>
      <c r="U83" s="98"/>
      <c r="V83" s="98"/>
      <c r="W83" s="98"/>
      <c r="X83" s="98"/>
      <c r="Y83" s="98"/>
      <c r="Z83" s="98"/>
      <c r="AC83" s="10"/>
      <c r="AD83" s="98"/>
      <c r="AE83" s="98"/>
      <c r="AF83" s="98"/>
      <c r="AG83" s="10"/>
      <c r="AH83" s="10"/>
    </row>
    <row r="84" spans="1:34" ht="12.75" hidden="1" customHeight="1" x14ac:dyDescent="0.2">
      <c r="A84" s="487"/>
      <c r="B84" s="491"/>
      <c r="C84" s="98">
        <v>25621</v>
      </c>
      <c r="D84" s="491">
        <v>25.6</v>
      </c>
      <c r="E84" s="98">
        <v>38</v>
      </c>
      <c r="F84" s="98" t="s">
        <v>525</v>
      </c>
      <c r="G84" s="491">
        <f t="shared" si="14"/>
        <v>26.5</v>
      </c>
      <c r="H84" s="494">
        <f t="shared" si="14"/>
        <v>38</v>
      </c>
      <c r="I84" s="491" t="str">
        <f t="shared" si="14"/>
        <v>52-66349</v>
      </c>
      <c r="J84" s="10"/>
      <c r="K84" s="10"/>
      <c r="L84" s="10"/>
      <c r="M84" s="10"/>
      <c r="N84" s="10"/>
      <c r="O84" s="10"/>
      <c r="P84" s="10"/>
      <c r="Q84" s="10"/>
      <c r="R84" s="272"/>
      <c r="S84" s="10"/>
      <c r="T84" s="313"/>
      <c r="U84" s="98"/>
      <c r="V84" s="98"/>
      <c r="W84" s="98"/>
      <c r="X84" s="98"/>
      <c r="Y84" s="98"/>
      <c r="Z84" s="98"/>
      <c r="AC84" s="10"/>
      <c r="AD84" s="98"/>
      <c r="AE84" s="98"/>
      <c r="AF84" s="98"/>
      <c r="AG84" s="10"/>
      <c r="AH84" s="10"/>
    </row>
    <row r="85" spans="1:34" ht="12.75" hidden="1" customHeight="1" x14ac:dyDescent="0.2">
      <c r="A85" s="487"/>
      <c r="B85" s="491"/>
      <c r="C85" s="98">
        <v>26528</v>
      </c>
      <c r="D85" s="491">
        <v>26.5</v>
      </c>
      <c r="E85" s="98">
        <v>38</v>
      </c>
      <c r="F85" s="98" t="s">
        <v>526</v>
      </c>
      <c r="G85" s="491">
        <f t="shared" si="14"/>
        <v>27.7</v>
      </c>
      <c r="H85" s="494">
        <f t="shared" si="14"/>
        <v>38</v>
      </c>
      <c r="I85" s="491" t="str">
        <f t="shared" si="14"/>
        <v>52-66356</v>
      </c>
      <c r="J85" s="10"/>
      <c r="K85" s="10"/>
      <c r="L85" s="10"/>
      <c r="M85" s="10"/>
      <c r="N85" s="10"/>
      <c r="O85" s="10"/>
      <c r="P85" s="10"/>
      <c r="Q85" s="10"/>
      <c r="R85" s="272"/>
      <c r="S85" s="158"/>
      <c r="T85" s="313"/>
      <c r="U85" s="98"/>
      <c r="V85" s="98"/>
      <c r="W85" s="98"/>
      <c r="X85" s="98"/>
      <c r="Y85" s="98"/>
      <c r="Z85" s="98"/>
      <c r="AC85" s="10"/>
      <c r="AD85" s="98"/>
      <c r="AE85" s="98"/>
      <c r="AF85" s="98"/>
      <c r="AG85" s="10"/>
      <c r="AH85" s="10"/>
    </row>
    <row r="86" spans="1:34" ht="12.75" hidden="1" customHeight="1" x14ac:dyDescent="0.2">
      <c r="A86" s="487"/>
      <c r="B86" s="491"/>
      <c r="C86" s="98">
        <v>27686</v>
      </c>
      <c r="D86" s="491">
        <v>27.7</v>
      </c>
      <c r="E86" s="98">
        <v>38</v>
      </c>
      <c r="F86" s="98" t="s">
        <v>527</v>
      </c>
      <c r="G86" s="491">
        <f t="shared" si="14"/>
        <v>29.2</v>
      </c>
      <c r="H86" s="494">
        <f t="shared" si="14"/>
        <v>38</v>
      </c>
      <c r="I86" s="491" t="str">
        <f t="shared" si="14"/>
        <v>52-66362</v>
      </c>
      <c r="J86" s="10"/>
      <c r="K86" s="10"/>
      <c r="L86" s="10"/>
      <c r="M86" s="10"/>
      <c r="N86" s="10"/>
      <c r="O86" s="10"/>
      <c r="P86" s="10"/>
      <c r="Q86" s="10"/>
      <c r="R86" s="272"/>
      <c r="S86" s="98"/>
      <c r="T86" s="313"/>
      <c r="U86" s="98"/>
      <c r="V86" s="98"/>
      <c r="W86" s="98"/>
      <c r="X86" s="98"/>
      <c r="Y86" s="98"/>
      <c r="Z86" s="98"/>
      <c r="AC86" s="10"/>
      <c r="AD86" s="98"/>
      <c r="AE86" s="98"/>
      <c r="AF86" s="98"/>
      <c r="AG86" s="10"/>
      <c r="AH86" s="10"/>
    </row>
    <row r="87" spans="1:34" ht="12.75" hidden="1" customHeight="1" x14ac:dyDescent="0.2">
      <c r="A87" s="487"/>
      <c r="B87" s="491"/>
      <c r="C87" s="98">
        <v>29157</v>
      </c>
      <c r="D87" s="491">
        <v>29.2</v>
      </c>
      <c r="E87" s="98">
        <v>38</v>
      </c>
      <c r="F87" s="98" t="s">
        <v>528</v>
      </c>
      <c r="G87" s="491">
        <f t="shared" si="14"/>
        <v>30</v>
      </c>
      <c r="H87" s="494">
        <f t="shared" si="14"/>
        <v>39</v>
      </c>
      <c r="I87" s="491" t="str">
        <f t="shared" si="14"/>
        <v>52-66367</v>
      </c>
      <c r="J87" s="10"/>
      <c r="K87" s="10"/>
      <c r="L87" s="10"/>
      <c r="M87" s="10"/>
      <c r="N87" s="10"/>
      <c r="O87" s="10"/>
      <c r="P87" s="10"/>
      <c r="Q87" s="10"/>
      <c r="R87" s="272"/>
      <c r="S87" s="98"/>
      <c r="T87" s="313"/>
      <c r="U87" s="98"/>
      <c r="V87" s="98"/>
      <c r="W87" s="98"/>
      <c r="X87" s="98"/>
      <c r="Y87" s="98"/>
      <c r="Z87" s="98"/>
      <c r="AC87" s="10"/>
      <c r="AD87" s="98"/>
      <c r="AE87" s="98"/>
      <c r="AF87" s="98"/>
      <c r="AG87" s="10"/>
      <c r="AH87" s="10"/>
    </row>
    <row r="88" spans="1:34" ht="12.75" hidden="1" customHeight="1" x14ac:dyDescent="0.2">
      <c r="A88" s="487"/>
      <c r="B88" s="491"/>
      <c r="C88" s="98">
        <v>29954</v>
      </c>
      <c r="D88" s="491">
        <v>30</v>
      </c>
      <c r="E88" s="98">
        <v>39</v>
      </c>
      <c r="F88" s="98" t="s">
        <v>529</v>
      </c>
      <c r="G88" s="491">
        <f t="shared" si="14"/>
        <v>31</v>
      </c>
      <c r="H88" s="494">
        <f t="shared" si="14"/>
        <v>39</v>
      </c>
      <c r="I88" s="491" t="str">
        <f t="shared" si="14"/>
        <v>52-66373</v>
      </c>
      <c r="J88" s="10"/>
      <c r="K88" s="10"/>
      <c r="L88" s="10"/>
      <c r="M88" s="10"/>
      <c r="N88" s="10"/>
      <c r="O88" s="10"/>
      <c r="P88" s="10"/>
      <c r="Q88" s="10"/>
      <c r="R88" s="272"/>
      <c r="S88" s="98"/>
      <c r="T88" s="313"/>
      <c r="U88" s="98"/>
      <c r="V88" s="98"/>
      <c r="W88" s="98"/>
      <c r="X88" s="98"/>
      <c r="Y88" s="98"/>
      <c r="Z88" s="98"/>
      <c r="AC88" s="10"/>
      <c r="AD88" s="98"/>
      <c r="AE88" s="98"/>
      <c r="AF88" s="98"/>
      <c r="AG88" s="10"/>
      <c r="AH88" s="10"/>
    </row>
    <row r="89" spans="1:34" ht="12.75" hidden="1" customHeight="1" x14ac:dyDescent="0.2">
      <c r="A89" s="487"/>
      <c r="B89" s="491"/>
      <c r="C89" s="98">
        <v>30976</v>
      </c>
      <c r="D89" s="491">
        <v>31</v>
      </c>
      <c r="E89" s="98">
        <v>39</v>
      </c>
      <c r="F89" s="98" t="s">
        <v>530</v>
      </c>
      <c r="G89" s="491">
        <f t="shared" si="14"/>
        <v>32.299999999999997</v>
      </c>
      <c r="H89" s="494">
        <f t="shared" si="14"/>
        <v>40</v>
      </c>
      <c r="I89" s="491" t="str">
        <f t="shared" si="14"/>
        <v>52-66379</v>
      </c>
      <c r="J89" s="10"/>
      <c r="K89" s="10"/>
      <c r="L89" s="10"/>
      <c r="M89" s="10"/>
      <c r="N89" s="10"/>
      <c r="O89" s="10"/>
      <c r="P89" s="10"/>
      <c r="Q89" s="10"/>
      <c r="R89" s="272"/>
      <c r="S89" s="98"/>
      <c r="T89" s="313"/>
      <c r="U89" s="98"/>
      <c r="V89" s="98"/>
      <c r="W89" s="98"/>
      <c r="X89" s="98"/>
      <c r="Y89" s="98"/>
      <c r="Z89" s="98"/>
      <c r="AC89" s="10"/>
      <c r="AD89" s="98"/>
      <c r="AE89" s="98"/>
      <c r="AF89" s="98"/>
      <c r="AG89" s="10"/>
      <c r="AH89" s="10"/>
    </row>
    <row r="90" spans="1:34" ht="12.75" hidden="1" customHeight="1" x14ac:dyDescent="0.2">
      <c r="A90" s="487"/>
      <c r="B90" s="491"/>
      <c r="C90" s="98">
        <v>32260</v>
      </c>
      <c r="D90" s="491">
        <v>32.299999999999997</v>
      </c>
      <c r="E90" s="98">
        <v>40</v>
      </c>
      <c r="F90" s="98" t="s">
        <v>531</v>
      </c>
      <c r="G90" s="491">
        <f t="shared" si="14"/>
        <v>33.6</v>
      </c>
      <c r="H90" s="494">
        <f t="shared" si="14"/>
        <v>40</v>
      </c>
      <c r="I90" s="491" t="str">
        <f t="shared" si="14"/>
        <v>52-66385</v>
      </c>
      <c r="J90" s="10"/>
      <c r="K90" s="10"/>
      <c r="L90" s="10"/>
      <c r="M90" s="10"/>
      <c r="N90" s="10"/>
      <c r="O90" s="10"/>
      <c r="P90" s="10"/>
      <c r="Q90" s="10"/>
      <c r="R90" s="272"/>
      <c r="S90" s="98"/>
      <c r="T90" s="313"/>
      <c r="U90" s="98"/>
      <c r="V90" s="98"/>
      <c r="W90" s="98"/>
      <c r="X90" s="98"/>
      <c r="Y90" s="98"/>
      <c r="Z90" s="98"/>
      <c r="AC90" s="10"/>
      <c r="AD90" s="98"/>
      <c r="AE90" s="98"/>
      <c r="AF90" s="98"/>
      <c r="AG90" s="10"/>
      <c r="AH90" s="10"/>
    </row>
    <row r="91" spans="1:34" ht="12.75" hidden="1" customHeight="1" x14ac:dyDescent="0.2">
      <c r="A91" s="487"/>
      <c r="B91" s="491"/>
      <c r="C91" s="98">
        <v>33565</v>
      </c>
      <c r="D91" s="491">
        <v>33.6</v>
      </c>
      <c r="E91" s="98">
        <v>40</v>
      </c>
      <c r="F91" s="98" t="s">
        <v>532</v>
      </c>
      <c r="G91" s="491">
        <f t="shared" si="14"/>
        <v>35</v>
      </c>
      <c r="H91" s="494">
        <f t="shared" si="14"/>
        <v>40</v>
      </c>
      <c r="I91" s="491" t="str">
        <f t="shared" si="14"/>
        <v>52-66391</v>
      </c>
      <c r="J91" s="10"/>
      <c r="K91" s="10"/>
      <c r="L91" s="10"/>
      <c r="M91" s="10"/>
      <c r="N91" s="10"/>
      <c r="O91" s="10"/>
      <c r="P91" s="10"/>
      <c r="Q91" s="10"/>
      <c r="R91" s="272"/>
      <c r="S91" s="98"/>
      <c r="T91" s="313"/>
      <c r="U91" s="98"/>
      <c r="V91" s="98"/>
      <c r="W91" s="98"/>
      <c r="X91" s="98"/>
      <c r="Y91" s="98"/>
      <c r="Z91" s="98"/>
      <c r="AC91" s="10"/>
      <c r="AD91" s="98"/>
      <c r="AE91" s="98"/>
      <c r="AF91" s="98"/>
      <c r="AG91" s="10"/>
      <c r="AH91" s="10"/>
    </row>
    <row r="92" spans="1:34" ht="12.75" hidden="1" customHeight="1" x14ac:dyDescent="0.2">
      <c r="A92" s="487"/>
      <c r="B92" s="491"/>
      <c r="C92" s="98">
        <v>34953</v>
      </c>
      <c r="D92" s="491">
        <v>35</v>
      </c>
      <c r="E92" s="98">
        <v>40</v>
      </c>
      <c r="F92" s="98" t="s">
        <v>533</v>
      </c>
      <c r="G92" s="491">
        <f t="shared" si="14"/>
        <v>36.299999999999997</v>
      </c>
      <c r="H92" s="494">
        <f t="shared" si="14"/>
        <v>42</v>
      </c>
      <c r="I92" s="491" t="str">
        <f t="shared" si="14"/>
        <v>52-66393</v>
      </c>
      <c r="J92" s="10"/>
      <c r="K92" s="10"/>
      <c r="L92" s="10"/>
      <c r="M92" s="10"/>
      <c r="N92" s="10"/>
      <c r="O92" s="10"/>
      <c r="P92" s="10"/>
      <c r="Q92" s="10"/>
      <c r="R92" s="272"/>
      <c r="S92" s="98"/>
      <c r="T92" s="313"/>
      <c r="U92" s="98"/>
      <c r="V92" s="98"/>
      <c r="W92" s="98"/>
      <c r="X92" s="98"/>
      <c r="Y92" s="98"/>
      <c r="Z92" s="98"/>
      <c r="AC92" s="10"/>
      <c r="AD92" s="98"/>
      <c r="AE92" s="98"/>
      <c r="AF92" s="98"/>
      <c r="AG92" s="10"/>
      <c r="AH92" s="10"/>
    </row>
    <row r="93" spans="1:34" ht="12.75" hidden="1" customHeight="1" x14ac:dyDescent="0.2">
      <c r="A93" s="487"/>
      <c r="B93" s="491"/>
      <c r="C93" s="98">
        <v>36336</v>
      </c>
      <c r="D93" s="491">
        <v>36.299999999999997</v>
      </c>
      <c r="E93" s="98">
        <v>42</v>
      </c>
      <c r="F93" s="98" t="s">
        <v>534</v>
      </c>
      <c r="G93" s="491">
        <f t="shared" si="14"/>
        <v>37.700000000000003</v>
      </c>
      <c r="H93" s="494">
        <f t="shared" si="14"/>
        <v>43</v>
      </c>
      <c r="I93" s="491" t="str">
        <f t="shared" si="14"/>
        <v>52-66398</v>
      </c>
      <c r="J93" s="10"/>
      <c r="K93" s="10"/>
      <c r="L93" s="10"/>
      <c r="M93" s="10"/>
      <c r="N93" s="10"/>
      <c r="O93" s="10"/>
      <c r="P93" s="10"/>
      <c r="Q93" s="10"/>
      <c r="R93" s="272"/>
      <c r="S93" s="98"/>
      <c r="T93" s="313"/>
      <c r="U93" s="98"/>
      <c r="V93" s="98"/>
      <c r="W93" s="98"/>
      <c r="X93" s="98"/>
      <c r="Y93" s="98"/>
      <c r="Z93" s="98"/>
      <c r="AC93" s="10"/>
      <c r="AD93" s="98"/>
      <c r="AE93" s="98"/>
      <c r="AF93" s="98"/>
      <c r="AG93" s="10"/>
      <c r="AH93" s="10"/>
    </row>
    <row r="94" spans="1:34" ht="12.75" hidden="1" customHeight="1" x14ac:dyDescent="0.2">
      <c r="A94" s="487"/>
      <c r="B94" s="491"/>
      <c r="C94" s="98">
        <v>37685</v>
      </c>
      <c r="D94" s="491">
        <v>37.700000000000003</v>
      </c>
      <c r="E94" s="98">
        <v>43</v>
      </c>
      <c r="F94" s="98" t="s">
        <v>535</v>
      </c>
      <c r="G94" s="491">
        <f t="shared" si="14"/>
        <v>38.6</v>
      </c>
      <c r="H94" s="494">
        <f t="shared" si="14"/>
        <v>44</v>
      </c>
      <c r="I94" s="491" t="str">
        <f t="shared" si="14"/>
        <v>52-66400</v>
      </c>
      <c r="J94" s="10"/>
      <c r="K94" s="10"/>
      <c r="L94" s="10"/>
      <c r="M94" s="10"/>
      <c r="N94" s="10"/>
      <c r="O94" s="10"/>
      <c r="P94" s="10"/>
      <c r="Q94" s="10"/>
      <c r="R94" s="272"/>
      <c r="S94" s="98"/>
      <c r="T94" s="313"/>
      <c r="U94" s="98"/>
      <c r="V94" s="98"/>
      <c r="W94" s="98"/>
      <c r="X94" s="98"/>
      <c r="Y94" s="98"/>
      <c r="Z94" s="98"/>
      <c r="AC94" s="10"/>
      <c r="AD94" s="98"/>
      <c r="AE94" s="98"/>
      <c r="AF94" s="98"/>
      <c r="AG94" s="10"/>
      <c r="AH94" s="10"/>
    </row>
    <row r="95" spans="1:34" ht="12.75" hidden="1" customHeight="1" x14ac:dyDescent="0.2">
      <c r="A95" s="487"/>
      <c r="B95" s="491"/>
      <c r="C95" s="98">
        <v>38607</v>
      </c>
      <c r="D95" s="491">
        <v>38.6</v>
      </c>
      <c r="E95" s="98">
        <v>44</v>
      </c>
      <c r="F95" s="98" t="s">
        <v>536</v>
      </c>
      <c r="G95" s="491">
        <f t="shared" si="14"/>
        <v>41</v>
      </c>
      <c r="H95" s="494">
        <f t="shared" si="14"/>
        <v>46</v>
      </c>
      <c r="I95" s="491" t="str">
        <f t="shared" si="14"/>
        <v>52-66407</v>
      </c>
      <c r="J95" s="10"/>
      <c r="K95" s="10"/>
      <c r="L95" s="10"/>
      <c r="M95" s="10"/>
      <c r="N95" s="10"/>
      <c r="O95" s="10"/>
      <c r="P95" s="10"/>
      <c r="Q95" s="10"/>
      <c r="R95" s="272"/>
      <c r="S95" s="98"/>
      <c r="T95" s="313"/>
      <c r="U95" s="98"/>
      <c r="V95" s="98"/>
      <c r="W95" s="98"/>
      <c r="X95" s="98"/>
      <c r="Y95" s="98"/>
      <c r="Z95" s="98"/>
      <c r="AC95" s="10"/>
      <c r="AD95" s="98"/>
      <c r="AE95" s="98"/>
      <c r="AF95" s="98"/>
      <c r="AG95" s="10"/>
      <c r="AH95" s="10"/>
    </row>
    <row r="96" spans="1:34" ht="12.75" hidden="1" customHeight="1" x14ac:dyDescent="0.2">
      <c r="A96" s="487"/>
      <c r="B96" s="491"/>
      <c r="C96" s="98">
        <v>40971</v>
      </c>
      <c r="D96" s="491">
        <v>41</v>
      </c>
      <c r="E96" s="98">
        <v>46</v>
      </c>
      <c r="F96" s="98" t="s">
        <v>537</v>
      </c>
      <c r="G96" s="491">
        <f t="shared" si="14"/>
        <v>45</v>
      </c>
      <c r="H96" s="494">
        <f t="shared" si="14"/>
        <v>49</v>
      </c>
      <c r="I96" s="491" t="str">
        <f t="shared" si="14"/>
        <v>52-66407H</v>
      </c>
      <c r="J96" s="10"/>
      <c r="K96" s="10"/>
      <c r="L96" s="10"/>
      <c r="M96" s="10"/>
      <c r="N96" s="10"/>
      <c r="O96" s="10"/>
      <c r="P96" s="10"/>
      <c r="Q96" s="10"/>
      <c r="R96" s="272"/>
      <c r="S96" s="98"/>
      <c r="T96" s="313"/>
      <c r="U96" s="98"/>
      <c r="V96" s="98"/>
      <c r="W96" s="98"/>
      <c r="X96" s="98"/>
      <c r="Y96" s="98"/>
      <c r="Z96" s="98"/>
      <c r="AC96" s="10"/>
      <c r="AD96" s="98"/>
      <c r="AE96" s="98"/>
      <c r="AF96" s="98"/>
      <c r="AG96" s="10"/>
      <c r="AH96" s="10"/>
    </row>
    <row r="97" spans="1:34" ht="12.75" hidden="1" customHeight="1" x14ac:dyDescent="0.2">
      <c r="A97" s="487"/>
      <c r="B97" s="491"/>
      <c r="C97" s="98">
        <v>45000</v>
      </c>
      <c r="D97" s="491">
        <v>45</v>
      </c>
      <c r="E97" s="98">
        <v>49</v>
      </c>
      <c r="F97" s="98" t="s">
        <v>538</v>
      </c>
      <c r="G97" s="491">
        <f>D97</f>
        <v>45</v>
      </c>
      <c r="H97" s="494">
        <f>E97</f>
        <v>49</v>
      </c>
      <c r="I97" s="491" t="str">
        <f>F97</f>
        <v>52-66407H</v>
      </c>
      <c r="J97" s="10"/>
      <c r="K97" s="10"/>
      <c r="L97" s="10"/>
      <c r="M97" s="10"/>
      <c r="N97" s="10"/>
      <c r="O97" s="10"/>
      <c r="P97" s="10"/>
      <c r="Q97" s="10"/>
      <c r="R97" s="272"/>
      <c r="S97" s="98"/>
      <c r="T97" s="313"/>
      <c r="U97" s="98"/>
      <c r="V97" s="98"/>
      <c r="W97" s="98"/>
      <c r="X97" s="98"/>
      <c r="Y97" s="98"/>
      <c r="Z97" s="98"/>
      <c r="AC97" s="10"/>
      <c r="AD97" s="98"/>
      <c r="AE97" s="98"/>
      <c r="AF97" s="98"/>
      <c r="AG97" s="10"/>
      <c r="AH97" s="10"/>
    </row>
    <row r="98" spans="1:34" ht="12.75" hidden="1" customHeight="1" x14ac:dyDescent="0.2">
      <c r="A98" s="488"/>
      <c r="B98" s="75"/>
      <c r="C98" s="75"/>
      <c r="D98" s="165"/>
      <c r="E98" s="165"/>
      <c r="F98" s="165"/>
      <c r="G98" s="165"/>
      <c r="H98" s="500"/>
      <c r="I98" s="165"/>
      <c r="J98" s="165"/>
      <c r="K98" s="165"/>
      <c r="L98" s="165"/>
      <c r="M98" s="165"/>
      <c r="N98" s="500"/>
      <c r="O98" s="10"/>
      <c r="P98" s="10"/>
      <c r="Q98" s="10"/>
      <c r="R98" s="272"/>
      <c r="S98" s="98"/>
      <c r="T98" s="313"/>
      <c r="U98" s="98"/>
      <c r="V98" s="98"/>
      <c r="W98" s="98"/>
      <c r="X98" s="98"/>
      <c r="Y98" s="98"/>
      <c r="Z98" s="98"/>
      <c r="AC98" s="10"/>
      <c r="AD98" s="10"/>
      <c r="AE98" s="10"/>
      <c r="AF98" s="10"/>
      <c r="AG98" s="10"/>
      <c r="AH98" s="10"/>
    </row>
    <row r="99" spans="1:34" ht="12.75" customHeight="1" thickTop="1" x14ac:dyDescent="0.2">
      <c r="A99" s="501" t="s">
        <v>549</v>
      </c>
      <c r="B99" s="13" t="s">
        <v>394</v>
      </c>
      <c r="C99" s="14" t="s">
        <v>556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272"/>
      <c r="S99" s="98"/>
      <c r="T99" s="313"/>
      <c r="U99" s="98"/>
      <c r="V99" s="98"/>
      <c r="W99" s="98"/>
      <c r="X99" s="98"/>
      <c r="Y99" s="98"/>
      <c r="Z99" s="98"/>
    </row>
    <row r="100" spans="1:34" ht="12.75" customHeight="1" x14ac:dyDescent="0.25">
      <c r="A100" s="502" t="s">
        <v>42</v>
      </c>
      <c r="B100" s="503" t="s">
        <v>431</v>
      </c>
      <c r="C100" s="504" t="s">
        <v>559</v>
      </c>
      <c r="D100" s="10"/>
      <c r="E100" s="10"/>
      <c r="F100" s="10"/>
      <c r="G100" s="10"/>
      <c r="H100" s="10"/>
      <c r="I100" s="10"/>
      <c r="J100" s="10"/>
      <c r="K100" s="10"/>
      <c r="L100" s="505"/>
      <c r="M100" s="506"/>
      <c r="N100" s="506"/>
      <c r="O100" s="506"/>
      <c r="P100" s="506"/>
      <c r="Q100" s="506"/>
      <c r="R100" s="272"/>
      <c r="S100" s="98"/>
      <c r="T100" s="313"/>
      <c r="U100" s="98"/>
      <c r="V100" s="98"/>
      <c r="W100" s="98"/>
      <c r="X100" s="98"/>
      <c r="Y100" s="98"/>
      <c r="Z100" s="98"/>
    </row>
    <row r="101" spans="1:34" ht="14.25" x14ac:dyDescent="0.2">
      <c r="A101" s="502" t="s">
        <v>377</v>
      </c>
      <c r="B101" s="507"/>
      <c r="C101" s="304"/>
      <c r="D101" s="10"/>
      <c r="E101" s="10"/>
      <c r="F101" s="10"/>
      <c r="G101" s="10"/>
      <c r="H101" s="10"/>
      <c r="I101" s="10"/>
      <c r="J101" s="10"/>
      <c r="K101" s="10"/>
      <c r="L101" s="506"/>
      <c r="M101" s="506"/>
      <c r="N101" s="506"/>
      <c r="O101" s="506"/>
      <c r="P101" s="506"/>
      <c r="Q101" s="506"/>
      <c r="R101" s="272"/>
      <c r="S101" s="98"/>
      <c r="T101" s="313"/>
      <c r="U101" s="98"/>
      <c r="V101" s="98"/>
      <c r="W101" s="98"/>
      <c r="X101" s="98"/>
      <c r="Y101" s="98"/>
      <c r="Z101" s="98"/>
    </row>
    <row r="102" spans="1:34" ht="15" x14ac:dyDescent="0.25">
      <c r="A102" s="508"/>
      <c r="B102" s="507"/>
      <c r="C102" s="509"/>
      <c r="D102" s="10"/>
      <c r="E102" s="10"/>
      <c r="F102" s="10"/>
      <c r="G102" s="10"/>
      <c r="H102" s="10"/>
      <c r="I102" s="10"/>
      <c r="J102" s="10"/>
      <c r="K102" s="10"/>
      <c r="L102" s="510"/>
      <c r="M102" s="510"/>
      <c r="N102" s="505"/>
      <c r="O102" s="505"/>
      <c r="P102" s="505"/>
      <c r="Q102" s="505"/>
      <c r="R102" s="272"/>
      <c r="S102" s="98"/>
      <c r="T102" s="313"/>
      <c r="U102" s="98"/>
      <c r="V102" s="98"/>
      <c r="W102" s="98"/>
      <c r="X102" s="98"/>
      <c r="Y102" s="98"/>
      <c r="Z102" s="98"/>
    </row>
    <row r="103" spans="1:34" ht="15" x14ac:dyDescent="0.25">
      <c r="A103" s="305">
        <v>50</v>
      </c>
      <c r="B103" s="511" t="s">
        <v>449</v>
      </c>
      <c r="C103" s="303">
        <v>1</v>
      </c>
      <c r="D103" s="10"/>
      <c r="E103" s="10"/>
      <c r="F103" s="10"/>
      <c r="G103" s="10"/>
      <c r="H103" s="10"/>
      <c r="I103" s="10"/>
      <c r="J103" s="10"/>
      <c r="K103" s="10"/>
      <c r="L103" s="510"/>
      <c r="M103" s="510"/>
      <c r="N103" s="510"/>
      <c r="O103" s="510"/>
      <c r="P103" s="512"/>
      <c r="Q103" s="505"/>
      <c r="R103" s="272"/>
      <c r="S103" s="98"/>
      <c r="T103" s="313"/>
      <c r="U103" s="98"/>
      <c r="V103" s="98"/>
      <c r="W103" s="98"/>
      <c r="X103" s="98"/>
      <c r="Y103" s="98"/>
      <c r="Z103" s="98"/>
    </row>
    <row r="104" spans="1:34" ht="15" x14ac:dyDescent="0.25">
      <c r="A104" s="502">
        <v>65</v>
      </c>
      <c r="B104" s="513" t="s">
        <v>449</v>
      </c>
      <c r="C104" s="504">
        <v>1</v>
      </c>
      <c r="D104" s="10"/>
      <c r="E104" s="10"/>
      <c r="F104" s="10"/>
      <c r="G104" s="10"/>
      <c r="H104" s="10"/>
      <c r="I104" s="10"/>
      <c r="J104" s="10"/>
      <c r="K104" s="10"/>
      <c r="L104" s="510"/>
      <c r="M104" s="510"/>
      <c r="N104" s="505"/>
      <c r="O104" s="505"/>
      <c r="P104" s="514"/>
      <c r="Q104" s="505"/>
      <c r="R104" s="272"/>
      <c r="S104" s="98"/>
      <c r="T104" s="313"/>
      <c r="U104" s="98"/>
      <c r="V104" s="98"/>
      <c r="W104" s="98"/>
      <c r="X104" s="98"/>
      <c r="Y104" s="98"/>
      <c r="Z104" s="98"/>
    </row>
    <row r="105" spans="1:34" ht="15" x14ac:dyDescent="0.25">
      <c r="A105" s="305">
        <v>80</v>
      </c>
      <c r="B105" s="511" t="s">
        <v>449</v>
      </c>
      <c r="C105" s="303">
        <v>1</v>
      </c>
      <c r="D105" s="10"/>
      <c r="E105" s="10"/>
      <c r="F105" s="10"/>
      <c r="G105" s="10"/>
      <c r="H105" s="10"/>
      <c r="I105" s="10"/>
      <c r="J105" s="10"/>
      <c r="K105" s="10"/>
      <c r="L105" s="510"/>
      <c r="M105" s="510"/>
      <c r="N105" s="505"/>
      <c r="O105" s="505"/>
      <c r="P105" s="515"/>
      <c r="Q105" s="505"/>
      <c r="R105" s="25"/>
    </row>
    <row r="106" spans="1:34" ht="15" x14ac:dyDescent="0.25">
      <c r="A106" s="502">
        <v>100</v>
      </c>
      <c r="B106" s="516" t="s">
        <v>450</v>
      </c>
      <c r="C106" s="504">
        <v>2</v>
      </c>
      <c r="D106" s="10"/>
      <c r="E106" s="10"/>
      <c r="F106" s="10"/>
      <c r="G106" s="10"/>
      <c r="H106" s="10"/>
      <c r="I106" s="10"/>
      <c r="J106" s="10"/>
      <c r="K106" s="10"/>
      <c r="L106" s="510"/>
      <c r="M106" s="510"/>
      <c r="N106" s="505"/>
      <c r="O106" s="505"/>
      <c r="P106" s="505"/>
      <c r="Q106" s="505"/>
      <c r="R106" s="25"/>
    </row>
    <row r="107" spans="1:34" ht="15" x14ac:dyDescent="0.25">
      <c r="A107" s="305">
        <v>125</v>
      </c>
      <c r="B107" s="511" t="s">
        <v>451</v>
      </c>
      <c r="C107" s="303">
        <v>3</v>
      </c>
      <c r="D107" s="10"/>
      <c r="E107" s="10"/>
      <c r="F107" s="10"/>
      <c r="G107" s="10"/>
      <c r="H107" s="10"/>
      <c r="I107" s="10"/>
      <c r="J107" s="10"/>
      <c r="K107" s="10"/>
      <c r="L107" s="514"/>
      <c r="M107" s="510"/>
      <c r="N107" s="517"/>
      <c r="O107" s="505"/>
      <c r="P107" s="518"/>
      <c r="Q107" s="505"/>
      <c r="R107" s="25"/>
    </row>
    <row r="108" spans="1:34" ht="15" x14ac:dyDescent="0.25">
      <c r="A108" s="502">
        <v>150</v>
      </c>
      <c r="B108" s="516" t="s">
        <v>452</v>
      </c>
      <c r="C108" s="504">
        <v>4</v>
      </c>
      <c r="D108" s="10"/>
      <c r="E108" s="10"/>
      <c r="F108" s="10"/>
      <c r="G108" s="10"/>
      <c r="H108" s="10"/>
      <c r="I108" s="10"/>
      <c r="J108" s="10"/>
      <c r="K108" s="10"/>
      <c r="L108" s="514"/>
      <c r="M108" s="510"/>
      <c r="N108" s="517"/>
      <c r="O108" s="505"/>
      <c r="P108" s="518"/>
      <c r="Q108" s="505"/>
      <c r="R108" s="25"/>
    </row>
    <row r="109" spans="1:34" ht="15" x14ac:dyDescent="0.25">
      <c r="A109" s="305">
        <v>200</v>
      </c>
      <c r="B109" s="511" t="s">
        <v>453</v>
      </c>
      <c r="C109" s="303">
        <v>7</v>
      </c>
      <c r="D109" s="10"/>
      <c r="E109" s="10"/>
      <c r="F109" s="10"/>
      <c r="G109" s="10"/>
      <c r="H109" s="10"/>
      <c r="I109" s="10"/>
      <c r="J109" s="10"/>
      <c r="K109" s="10"/>
      <c r="L109" s="519"/>
      <c r="M109" s="510"/>
      <c r="N109" s="505"/>
      <c r="O109" s="505"/>
      <c r="P109" s="505"/>
      <c r="Q109" s="505"/>
      <c r="R109" s="25"/>
    </row>
    <row r="110" spans="1:34" x14ac:dyDescent="0.2">
      <c r="A110" s="502">
        <v>250</v>
      </c>
      <c r="B110" s="516" t="s">
        <v>454</v>
      </c>
      <c r="C110" s="504">
        <v>12</v>
      </c>
      <c r="D110" s="10"/>
      <c r="E110" s="10"/>
      <c r="F110" s="10"/>
      <c r="G110" s="10"/>
      <c r="H110" s="10"/>
      <c r="I110" s="10"/>
      <c r="J110" s="10"/>
      <c r="K110" s="10"/>
      <c r="L110" s="293"/>
      <c r="M110" s="293"/>
      <c r="N110" s="10"/>
      <c r="O110" s="10"/>
      <c r="P110" s="10"/>
      <c r="Q110" s="10"/>
      <c r="R110" s="25"/>
      <c r="S110" s="10"/>
      <c r="T110" s="293"/>
    </row>
    <row r="111" spans="1:34" x14ac:dyDescent="0.2">
      <c r="A111" s="305">
        <v>300</v>
      </c>
      <c r="B111" s="511" t="s">
        <v>455</v>
      </c>
      <c r="C111" s="303">
        <v>15</v>
      </c>
      <c r="D111" s="10"/>
      <c r="E111" s="10"/>
      <c r="F111" s="10"/>
      <c r="G111" s="10"/>
      <c r="H111" s="10"/>
      <c r="I111" s="10"/>
      <c r="J111" s="10"/>
      <c r="K111" s="10"/>
      <c r="L111" s="293"/>
      <c r="M111" s="293"/>
      <c r="N111" s="10"/>
      <c r="O111" s="10"/>
      <c r="P111" s="10"/>
      <c r="Q111" s="10"/>
      <c r="R111" s="25"/>
      <c r="S111" s="10"/>
      <c r="T111" s="293"/>
    </row>
    <row r="112" spans="1:34" x14ac:dyDescent="0.2">
      <c r="A112" s="502">
        <v>350</v>
      </c>
      <c r="B112" s="516" t="s">
        <v>456</v>
      </c>
      <c r="C112" s="504">
        <v>19</v>
      </c>
      <c r="D112" s="10"/>
      <c r="E112" s="10"/>
      <c r="F112" s="10"/>
      <c r="G112" s="10"/>
      <c r="H112" s="10"/>
      <c r="I112" s="10"/>
      <c r="J112" s="10"/>
      <c r="K112" s="10"/>
      <c r="L112" s="293"/>
      <c r="M112" s="293"/>
      <c r="N112" s="10"/>
      <c r="O112" s="10"/>
      <c r="P112" s="10"/>
      <c r="Q112" s="10"/>
      <c r="R112" s="25"/>
      <c r="S112" s="10"/>
      <c r="T112" s="293"/>
    </row>
    <row r="113" spans="1:20" x14ac:dyDescent="0.2">
      <c r="A113" s="305">
        <v>400</v>
      </c>
      <c r="B113" s="511" t="s">
        <v>457</v>
      </c>
      <c r="C113" s="303">
        <v>26</v>
      </c>
      <c r="D113" s="10"/>
      <c r="E113" s="10"/>
      <c r="F113" s="10"/>
      <c r="G113" s="10"/>
      <c r="H113" s="10"/>
      <c r="I113" s="10"/>
      <c r="J113" s="10"/>
      <c r="K113" s="10"/>
      <c r="L113" s="293"/>
      <c r="M113" s="293"/>
      <c r="N113" s="10"/>
      <c r="O113" s="10"/>
      <c r="P113" s="10"/>
      <c r="Q113" s="10"/>
      <c r="R113" s="25"/>
      <c r="S113" s="10"/>
      <c r="T113" s="293"/>
    </row>
    <row r="114" spans="1:20" x14ac:dyDescent="0.2">
      <c r="A114" s="502">
        <v>450</v>
      </c>
      <c r="B114" s="516" t="s">
        <v>458</v>
      </c>
      <c r="C114" s="504">
        <v>33</v>
      </c>
      <c r="D114" s="10"/>
      <c r="E114" s="10"/>
      <c r="F114" s="10"/>
      <c r="G114" s="10"/>
      <c r="H114" s="10"/>
      <c r="I114" s="10"/>
      <c r="J114" s="10"/>
      <c r="K114" s="10"/>
      <c r="L114" s="293"/>
      <c r="M114" s="293"/>
      <c r="N114" s="10"/>
      <c r="O114" s="10"/>
      <c r="P114" s="10"/>
      <c r="Q114" s="10"/>
      <c r="R114" s="25"/>
      <c r="S114" s="10"/>
      <c r="T114" s="293"/>
    </row>
    <row r="115" spans="1:20" x14ac:dyDescent="0.2">
      <c r="A115" s="305">
        <v>500</v>
      </c>
      <c r="B115" s="511" t="s">
        <v>459</v>
      </c>
      <c r="C115" s="303">
        <v>40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25"/>
      <c r="S115" s="10"/>
      <c r="T115" s="293"/>
    </row>
    <row r="116" spans="1:20" x14ac:dyDescent="0.2">
      <c r="A116" s="502">
        <v>600</v>
      </c>
      <c r="B116" s="516" t="s">
        <v>460</v>
      </c>
      <c r="C116" s="304">
        <v>56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25"/>
    </row>
    <row r="117" spans="1:20" ht="13.5" thickBot="1" x14ac:dyDescent="0.25">
      <c r="A117" s="302">
        <v>800</v>
      </c>
      <c r="B117" s="520" t="s">
        <v>461</v>
      </c>
      <c r="C117" s="301">
        <v>85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5"/>
    </row>
    <row r="118" spans="1:20" ht="13.5" thickTop="1" x14ac:dyDescent="0.2"/>
  </sheetData>
  <sheetProtection sheet="1" objects="1" scenarios="1"/>
  <mergeCells count="6">
    <mergeCell ref="B1:P1"/>
    <mergeCell ref="A2:R2"/>
    <mergeCell ref="N8:Q8"/>
    <mergeCell ref="C49:I49"/>
    <mergeCell ref="C50:F50"/>
    <mergeCell ref="G50:I50"/>
  </mergeCells>
  <pageMargins left="0.19685039370078741" right="0.19685039370078741" top="0.59055118110236227" bottom="0.19685039370078741" header="0.51181102362204722" footer="0.51181102362204722"/>
  <pageSetup paperSize="9" scale="9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5"/>
  <sheetViews>
    <sheetView showGridLines="0" zoomScaleNormal="100" workbookViewId="0">
      <selection activeCell="C14" sqref="C14"/>
    </sheetView>
  </sheetViews>
  <sheetFormatPr defaultColWidth="11.140625" defaultRowHeight="12.75" x14ac:dyDescent="0.2"/>
  <cols>
    <col min="1" max="1" width="4.7109375" customWidth="1"/>
    <col min="2" max="2" width="13.85546875" customWidth="1"/>
    <col min="3" max="3" width="9.7109375" customWidth="1"/>
    <col min="4" max="4" width="9.42578125" customWidth="1"/>
    <col min="5" max="5" width="10.42578125" customWidth="1"/>
    <col min="6" max="7" width="10.7109375" customWidth="1"/>
    <col min="8" max="8" width="9.7109375" customWidth="1"/>
    <col min="9" max="9" width="10.7109375" customWidth="1"/>
    <col min="10" max="11" width="11.7109375" customWidth="1"/>
    <col min="12" max="12" width="10.7109375" customWidth="1"/>
    <col min="13" max="13" width="10.140625" customWidth="1"/>
    <col min="14" max="14" width="12.140625" customWidth="1"/>
    <col min="15" max="16" width="8.7109375" customWidth="1"/>
    <col min="17" max="29" width="11.140625" customWidth="1"/>
    <col min="30" max="30" width="11.140625" style="98" customWidth="1"/>
    <col min="31" max="45" width="11.140625" customWidth="1"/>
  </cols>
  <sheetData>
    <row r="1" spans="1:49" ht="21" thickTop="1" x14ac:dyDescent="0.3">
      <c r="A1" s="719" t="s">
        <v>428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531"/>
      <c r="N1" s="529"/>
      <c r="O1" s="401"/>
      <c r="P1" s="400"/>
      <c r="Q1" s="23"/>
      <c r="R1" s="23"/>
      <c r="S1" s="23"/>
      <c r="T1" s="23"/>
      <c r="U1" s="23"/>
      <c r="V1" s="10"/>
      <c r="AI1" s="385"/>
      <c r="AJ1" s="384"/>
      <c r="AK1" s="384"/>
      <c r="AL1" s="384"/>
      <c r="AM1" s="384"/>
      <c r="AN1" s="384"/>
      <c r="AT1" s="26"/>
    </row>
    <row r="2" spans="1:49" ht="21" thickBot="1" x14ac:dyDescent="0.35">
      <c r="A2" s="725" t="s">
        <v>560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7"/>
      <c r="O2" s="399"/>
      <c r="P2" s="296"/>
      <c r="Q2" s="10"/>
      <c r="R2" s="10"/>
      <c r="S2" s="10"/>
      <c r="T2" s="10"/>
      <c r="U2" s="10"/>
      <c r="V2" s="10"/>
      <c r="AI2" s="385"/>
      <c r="AJ2" s="384"/>
      <c r="AK2" s="384"/>
      <c r="AL2" s="384"/>
      <c r="AM2" s="384"/>
      <c r="AN2" s="384"/>
      <c r="AT2" s="26"/>
    </row>
    <row r="3" spans="1:49" ht="19.5" thickTop="1" thickBot="1" x14ac:dyDescent="0.3">
      <c r="A3" s="295"/>
      <c r="B3" s="10"/>
      <c r="C3" s="10"/>
      <c r="D3" s="10"/>
      <c r="E3" s="10"/>
      <c r="F3" s="10"/>
      <c r="G3" s="10"/>
      <c r="H3" s="98"/>
      <c r="I3" s="98"/>
      <c r="J3" s="98"/>
      <c r="K3" s="98"/>
      <c r="L3" s="98"/>
      <c r="M3" s="98"/>
      <c r="N3" s="98"/>
      <c r="O3" s="180"/>
      <c r="P3" s="98"/>
      <c r="Q3" s="10"/>
      <c r="R3" s="162"/>
      <c r="S3" s="293"/>
      <c r="T3" s="293"/>
      <c r="U3" s="157"/>
      <c r="V3" s="10"/>
      <c r="W3" s="162"/>
      <c r="X3" s="293"/>
      <c r="Y3" s="293"/>
      <c r="Z3" s="157"/>
      <c r="AA3" s="10"/>
      <c r="AI3" s="385"/>
      <c r="AJ3" s="384"/>
      <c r="AK3" s="384"/>
      <c r="AL3" s="384"/>
      <c r="AM3" s="384"/>
      <c r="AN3" s="384"/>
      <c r="AT3" s="26"/>
    </row>
    <row r="4" spans="1:49" ht="13.5" thickBot="1" x14ac:dyDescent="0.25">
      <c r="A4" s="26"/>
      <c r="B4" s="27"/>
      <c r="C4" s="21" t="s">
        <v>25</v>
      </c>
      <c r="D4" s="10"/>
      <c r="E4" s="292" t="s">
        <v>557</v>
      </c>
      <c r="F4" s="291"/>
      <c r="G4" s="291"/>
      <c r="H4" s="290"/>
      <c r="I4" s="289" t="s">
        <v>394</v>
      </c>
      <c r="J4" s="289" t="s">
        <v>427</v>
      </c>
      <c r="K4" s="289" t="s">
        <v>427</v>
      </c>
      <c r="L4" s="289" t="s">
        <v>541</v>
      </c>
      <c r="M4" s="398" t="s">
        <v>541</v>
      </c>
      <c r="N4" s="288" t="s">
        <v>542</v>
      </c>
      <c r="O4" s="341"/>
      <c r="P4" s="98"/>
      <c r="Q4" s="10"/>
      <c r="R4" s="162"/>
      <c r="S4" s="162"/>
      <c r="T4" s="162"/>
      <c r="U4" s="161"/>
      <c r="V4" s="161"/>
      <c r="W4" s="162"/>
      <c r="X4" s="162"/>
      <c r="Y4" s="162"/>
      <c r="Z4" s="161"/>
      <c r="AA4" s="161"/>
      <c r="AI4" s="385"/>
      <c r="AJ4" s="384"/>
      <c r="AK4" s="384"/>
      <c r="AL4" s="384"/>
      <c r="AM4" s="384"/>
      <c r="AN4" s="384"/>
      <c r="AT4" s="26"/>
    </row>
    <row r="5" spans="1:49" ht="13.5" thickBot="1" x14ac:dyDescent="0.25">
      <c r="A5" s="26"/>
      <c r="B5" s="186" t="s">
        <v>120</v>
      </c>
      <c r="C5" s="522">
        <v>1500</v>
      </c>
      <c r="D5" s="165" t="s">
        <v>71</v>
      </c>
      <c r="E5" s="287" t="s">
        <v>540</v>
      </c>
      <c r="F5" s="286"/>
      <c r="G5" s="286"/>
      <c r="H5" s="285"/>
      <c r="I5" s="284" t="s">
        <v>393</v>
      </c>
      <c r="J5" s="284" t="s">
        <v>567</v>
      </c>
      <c r="K5" s="397" t="s">
        <v>568</v>
      </c>
      <c r="L5" s="284" t="s">
        <v>339</v>
      </c>
      <c r="M5" s="396" t="s">
        <v>338</v>
      </c>
      <c r="N5" s="283"/>
      <c r="O5" s="341"/>
      <c r="P5" s="98"/>
      <c r="Q5" s="98"/>
      <c r="R5" s="161"/>
      <c r="S5" s="161"/>
      <c r="T5" s="161"/>
      <c r="U5" s="161"/>
      <c r="V5" s="161"/>
      <c r="W5" s="161"/>
      <c r="X5" s="161"/>
      <c r="Y5" s="161"/>
      <c r="Z5" s="161"/>
      <c r="AA5" s="161"/>
      <c r="AI5" s="385"/>
      <c r="AJ5" s="384"/>
      <c r="AK5" s="384"/>
      <c r="AL5" s="384"/>
      <c r="AM5" s="384"/>
      <c r="AN5" s="384"/>
      <c r="AT5" s="26"/>
    </row>
    <row r="6" spans="1:49" ht="13.5" thickBot="1" x14ac:dyDescent="0.25">
      <c r="A6" s="26"/>
      <c r="B6" s="281"/>
      <c r="C6" s="21"/>
      <c r="D6" s="75"/>
      <c r="E6" s="27"/>
      <c r="F6" s="27"/>
      <c r="G6" s="186"/>
      <c r="H6" s="186"/>
      <c r="I6" s="75"/>
      <c r="J6" s="75"/>
      <c r="K6" s="75"/>
      <c r="L6" s="75"/>
      <c r="M6" s="75"/>
      <c r="N6" s="186"/>
      <c r="O6" s="346"/>
      <c r="P6" s="98"/>
      <c r="Q6" s="98"/>
      <c r="R6" s="161"/>
      <c r="S6" s="161"/>
      <c r="T6" s="161"/>
      <c r="U6" s="161"/>
      <c r="V6" s="161"/>
      <c r="W6" s="161"/>
      <c r="X6" s="161"/>
      <c r="Y6" s="161"/>
      <c r="Z6" s="161"/>
      <c r="AA6" s="161"/>
      <c r="AE6" s="281"/>
      <c r="AI6" s="385"/>
      <c r="AJ6" s="384"/>
      <c r="AK6" s="384"/>
      <c r="AL6" s="384"/>
      <c r="AM6" s="384"/>
      <c r="AN6" s="384"/>
      <c r="AT6" s="26"/>
    </row>
    <row r="7" spans="1:49" ht="13.5" thickBot="1" x14ac:dyDescent="0.25">
      <c r="A7" s="26"/>
      <c r="B7" s="282" t="s">
        <v>546</v>
      </c>
      <c r="C7" s="184" t="s">
        <v>403</v>
      </c>
      <c r="D7" s="75"/>
      <c r="E7" s="276" t="s">
        <v>543</v>
      </c>
      <c r="F7" s="275"/>
      <c r="G7" s="275"/>
      <c r="H7" s="275"/>
      <c r="I7" s="274">
        <f>VLOOKUP($C$13,$B$33:$N$38,7)</f>
        <v>1581</v>
      </c>
      <c r="J7" s="274">
        <f>VLOOKUP($C$13,$B$33:$N$38,8)</f>
        <v>23</v>
      </c>
      <c r="K7" s="274">
        <f>VLOOKUP($C$13,$B$33:$N$38,9)</f>
        <v>51</v>
      </c>
      <c r="L7" s="274" t="str">
        <f>VLOOKUP($C$13,$B$33:$N$38,10)</f>
        <v>50-20880</v>
      </c>
      <c r="M7" s="274" t="str">
        <f>VLOOKUP($C$13,$B$33:$N$38,11)</f>
        <v>49-20880</v>
      </c>
      <c r="N7" s="395">
        <f>I7/C5-1</f>
        <v>5.4000000000000048E-2</v>
      </c>
      <c r="O7" s="394"/>
      <c r="P7" s="98"/>
      <c r="Q7" s="98"/>
      <c r="R7" s="161"/>
      <c r="S7" s="161"/>
      <c r="T7" s="161"/>
      <c r="U7" s="161"/>
      <c r="V7" s="161"/>
      <c r="W7" s="161"/>
      <c r="X7" s="161"/>
      <c r="Y7" s="161"/>
      <c r="Z7" s="161"/>
      <c r="AA7" s="161"/>
      <c r="AE7" s="281"/>
      <c r="AI7" s="385"/>
      <c r="AJ7" s="384"/>
      <c r="AK7" s="384"/>
      <c r="AL7" s="384"/>
      <c r="AM7" s="384"/>
      <c r="AN7" s="384"/>
      <c r="AT7" s="26"/>
    </row>
    <row r="8" spans="1:49" ht="13.5" thickBot="1" x14ac:dyDescent="0.25">
      <c r="A8" s="26"/>
      <c r="B8" s="280" t="s">
        <v>401</v>
      </c>
      <c r="C8" s="238" t="s">
        <v>400</v>
      </c>
      <c r="D8" s="75"/>
      <c r="E8" s="27"/>
      <c r="F8" s="27"/>
      <c r="G8" s="186"/>
      <c r="H8" s="186"/>
      <c r="I8" s="75"/>
      <c r="J8" s="75"/>
      <c r="K8" s="75"/>
      <c r="L8" s="75"/>
      <c r="M8" s="75"/>
      <c r="N8" s="186"/>
      <c r="O8" s="346"/>
      <c r="P8" s="98"/>
      <c r="Q8" s="98"/>
      <c r="R8" s="161"/>
      <c r="S8" s="161"/>
      <c r="T8" s="161"/>
      <c r="U8" s="161"/>
      <c r="V8" s="161"/>
      <c r="W8" s="161"/>
      <c r="X8" s="161"/>
      <c r="Y8" s="161"/>
      <c r="Z8" s="161"/>
      <c r="AA8" s="161"/>
      <c r="AI8" s="385"/>
      <c r="AJ8" s="384"/>
      <c r="AK8" s="384"/>
      <c r="AL8" s="384"/>
      <c r="AM8" s="384"/>
      <c r="AN8" s="384"/>
      <c r="AT8" s="26"/>
    </row>
    <row r="9" spans="1:49" ht="13.5" thickBot="1" x14ac:dyDescent="0.25">
      <c r="A9" s="26"/>
      <c r="B9" s="278" t="s">
        <v>398</v>
      </c>
      <c r="C9" s="249" t="s">
        <v>397</v>
      </c>
      <c r="D9" s="165"/>
      <c r="E9" s="276" t="s">
        <v>544</v>
      </c>
      <c r="F9" s="275"/>
      <c r="G9" s="275"/>
      <c r="H9" s="275"/>
      <c r="I9" s="274">
        <f>VLOOKUP($C$13,$B$33:$N$38,2)</f>
        <v>1483</v>
      </c>
      <c r="J9" s="274">
        <f>VLOOKUP($C$13,$B$33:$N$38,3)</f>
        <v>23</v>
      </c>
      <c r="K9" s="274">
        <f>VLOOKUP($C$13,$B$33:$N$38,4)</f>
        <v>47</v>
      </c>
      <c r="L9" s="274" t="str">
        <f>VLOOKUP($C$13,$B$33:$N$38,5)</f>
        <v>50-20860</v>
      </c>
      <c r="M9" s="274" t="str">
        <f>VLOOKUP($C$13,$B$33:$N$38,6)</f>
        <v>49-20860</v>
      </c>
      <c r="N9" s="395">
        <f>I9/C5-1</f>
        <v>-1.1333333333333306E-2</v>
      </c>
      <c r="O9" s="394"/>
      <c r="P9" s="98"/>
      <c r="Q9" s="98"/>
      <c r="R9" s="98"/>
      <c r="S9" s="75"/>
      <c r="T9" s="75"/>
      <c r="U9" s="75"/>
      <c r="V9" s="75"/>
      <c r="W9" s="75"/>
      <c r="X9" s="98"/>
      <c r="Y9" s="273"/>
      <c r="Z9" s="98"/>
      <c r="AA9" s="161"/>
      <c r="AI9" s="385"/>
      <c r="AJ9" s="384"/>
      <c r="AK9" s="384"/>
      <c r="AL9" s="384"/>
      <c r="AM9" s="384"/>
      <c r="AN9" s="384"/>
      <c r="AT9" s="26"/>
      <c r="AU9" s="98"/>
      <c r="AV9" s="98"/>
      <c r="AW9" s="98"/>
    </row>
    <row r="10" spans="1:49" x14ac:dyDescent="0.2">
      <c r="A10" s="26"/>
      <c r="B10" s="186"/>
      <c r="C10" s="75"/>
      <c r="D10" s="165"/>
      <c r="E10" s="186"/>
      <c r="F10" s="186"/>
      <c r="G10" s="186"/>
      <c r="H10" s="186"/>
      <c r="I10" s="186"/>
      <c r="J10" s="186"/>
      <c r="K10" s="186"/>
      <c r="L10" s="186"/>
      <c r="M10" s="186"/>
      <c r="N10" s="98"/>
      <c r="O10" s="180"/>
      <c r="P10" s="98"/>
      <c r="Q10" s="186"/>
      <c r="R10" s="98"/>
      <c r="S10" s="165"/>
      <c r="T10" s="186"/>
      <c r="U10" s="165"/>
      <c r="V10" s="98"/>
      <c r="W10" s="75"/>
      <c r="X10" s="98"/>
      <c r="Y10" s="98"/>
      <c r="Z10" s="98"/>
      <c r="AA10" s="161"/>
      <c r="AI10" s="385"/>
      <c r="AJ10" s="384"/>
      <c r="AK10" s="384"/>
      <c r="AL10" s="384"/>
      <c r="AM10" s="384"/>
      <c r="AN10" s="384"/>
      <c r="AT10" s="26"/>
      <c r="AU10" s="98"/>
      <c r="AV10" s="98"/>
      <c r="AW10" s="98"/>
    </row>
    <row r="11" spans="1:49" x14ac:dyDescent="0.2">
      <c r="A11" s="26"/>
      <c r="B11" s="27"/>
      <c r="C11" s="27"/>
      <c r="D11" s="186"/>
      <c r="E11" s="186"/>
      <c r="F11" s="165"/>
      <c r="G11" s="186"/>
      <c r="H11" s="186"/>
      <c r="I11" s="186"/>
      <c r="J11" s="186"/>
      <c r="K11" s="186"/>
      <c r="L11" s="186"/>
      <c r="M11" s="186"/>
      <c r="N11" s="186"/>
      <c r="O11" s="346"/>
      <c r="P11" s="98"/>
      <c r="Q11" s="186"/>
      <c r="R11" s="98"/>
      <c r="S11" s="75"/>
      <c r="T11" s="75"/>
      <c r="U11" s="75"/>
      <c r="V11" s="186"/>
      <c r="W11" s="75"/>
      <c r="X11" s="98"/>
      <c r="Y11" s="98"/>
      <c r="Z11" s="98"/>
      <c r="AA11" s="161"/>
      <c r="AI11" s="385"/>
      <c r="AJ11" s="384"/>
      <c r="AK11" s="384"/>
      <c r="AL11" s="384"/>
      <c r="AM11" s="384"/>
      <c r="AN11" s="384"/>
      <c r="AT11" s="26"/>
      <c r="AU11" s="98"/>
      <c r="AV11" s="98"/>
      <c r="AW11" s="98"/>
    </row>
    <row r="12" spans="1:49" ht="15.75" thickBot="1" x14ac:dyDescent="0.25">
      <c r="A12" s="26"/>
      <c r="B12" s="27" t="s">
        <v>561</v>
      </c>
      <c r="C12" s="165"/>
      <c r="D12" s="186"/>
      <c r="E12" s="75"/>
      <c r="F12" s="75"/>
      <c r="G12" s="75"/>
      <c r="H12" s="281"/>
      <c r="I12" s="75"/>
      <c r="J12" s="75"/>
      <c r="K12" s="281"/>
      <c r="L12" s="75"/>
      <c r="M12" s="378"/>
      <c r="N12" s="378"/>
      <c r="O12" s="346"/>
      <c r="P12" s="98"/>
      <c r="Q12" s="186"/>
      <c r="R12" s="769"/>
      <c r="S12" s="769"/>
      <c r="T12" s="769"/>
      <c r="U12" s="769"/>
      <c r="V12" s="186"/>
      <c r="W12" s="769"/>
      <c r="X12" s="769"/>
      <c r="Y12" s="769"/>
      <c r="Z12" s="769"/>
      <c r="AA12" s="161"/>
      <c r="AE12" s="186"/>
      <c r="AI12" s="385"/>
      <c r="AJ12" s="384"/>
      <c r="AK12" s="384"/>
      <c r="AL12" s="384"/>
      <c r="AM12" s="384"/>
      <c r="AN12" s="384"/>
      <c r="AT12" s="26"/>
      <c r="AU12" s="186"/>
      <c r="AV12" s="186"/>
      <c r="AW12" s="75"/>
    </row>
    <row r="13" spans="1:49" ht="13.5" thickBot="1" x14ac:dyDescent="0.25">
      <c r="A13" s="26"/>
      <c r="B13" s="186" t="s">
        <v>547</v>
      </c>
      <c r="C13" s="522">
        <v>20</v>
      </c>
      <c r="D13" s="165"/>
      <c r="E13" s="75"/>
      <c r="F13" s="75"/>
      <c r="G13" s="186"/>
      <c r="H13" s="75"/>
      <c r="I13" s="75"/>
      <c r="J13" s="186"/>
      <c r="K13" s="75"/>
      <c r="L13" s="75"/>
      <c r="M13" s="75"/>
      <c r="N13" s="186"/>
      <c r="O13" s="346"/>
      <c r="P13" s="98"/>
      <c r="Q13" s="98"/>
      <c r="R13" s="161"/>
      <c r="S13" s="161"/>
      <c r="T13" s="771"/>
      <c r="U13" s="771"/>
      <c r="V13" s="98"/>
      <c r="W13" s="161"/>
      <c r="X13" s="161"/>
      <c r="Y13" s="771"/>
      <c r="Z13" s="771"/>
      <c r="AA13" s="161"/>
      <c r="AE13" s="186"/>
      <c r="AI13" s="385"/>
      <c r="AJ13" s="384"/>
      <c r="AK13" s="384"/>
      <c r="AL13" s="384"/>
      <c r="AM13" s="384"/>
      <c r="AN13" s="384"/>
      <c r="AT13" s="26"/>
      <c r="AU13" s="186"/>
      <c r="AV13" s="186"/>
      <c r="AW13" s="75"/>
    </row>
    <row r="14" spans="1:49" x14ac:dyDescent="0.2">
      <c r="A14" s="26"/>
      <c r="B14" s="98"/>
      <c r="C14" s="98"/>
      <c r="D14" s="98"/>
      <c r="E14" s="98"/>
      <c r="F14" s="186"/>
      <c r="G14" s="186"/>
      <c r="H14" s="186"/>
      <c r="I14" s="186"/>
      <c r="J14" s="186"/>
      <c r="K14" s="186"/>
      <c r="L14" s="186"/>
      <c r="M14" s="186"/>
      <c r="N14" s="186"/>
      <c r="O14" s="346"/>
      <c r="P14" s="98"/>
      <c r="Q14" s="98"/>
      <c r="R14" s="75"/>
      <c r="S14" s="75"/>
      <c r="T14" s="75"/>
      <c r="U14" s="75"/>
      <c r="V14" s="98"/>
      <c r="W14" s="75"/>
      <c r="X14" s="75"/>
      <c r="Y14" s="75"/>
      <c r="Z14" s="75"/>
      <c r="AA14" s="161"/>
      <c r="AI14" s="385"/>
      <c r="AJ14" s="384"/>
      <c r="AK14" s="384"/>
      <c r="AL14" s="384"/>
      <c r="AM14" s="384"/>
      <c r="AN14" s="384"/>
      <c r="AT14" s="26"/>
      <c r="AU14" s="186"/>
      <c r="AV14" s="186"/>
      <c r="AW14" s="75"/>
    </row>
    <row r="15" spans="1:49" ht="13.5" thickBot="1" x14ac:dyDescent="0.25">
      <c r="A15" s="26"/>
      <c r="B15" s="186" t="s">
        <v>563</v>
      </c>
      <c r="C15" s="165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346"/>
      <c r="P15" s="98"/>
      <c r="Q15" s="186"/>
      <c r="R15" s="165"/>
      <c r="S15" s="165"/>
      <c r="T15" s="165"/>
      <c r="U15" s="165"/>
      <c r="V15" s="252"/>
      <c r="W15" s="165"/>
      <c r="X15" s="165"/>
      <c r="Y15" s="165"/>
      <c r="Z15" s="165"/>
      <c r="AA15" s="161"/>
      <c r="AI15" s="385"/>
      <c r="AJ15" s="384"/>
      <c r="AK15" s="384"/>
      <c r="AL15" s="384"/>
      <c r="AM15" s="384"/>
      <c r="AN15" s="384"/>
      <c r="AT15" s="26"/>
      <c r="AU15" s="186"/>
      <c r="AV15" s="186"/>
      <c r="AW15" s="75"/>
    </row>
    <row r="16" spans="1:49" ht="15.75" thickBot="1" x14ac:dyDescent="0.25">
      <c r="A16" s="26"/>
      <c r="B16" s="383" t="s">
        <v>562</v>
      </c>
      <c r="C16" s="393" t="s">
        <v>541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378"/>
      <c r="O16" s="346"/>
      <c r="P16" s="98"/>
      <c r="Q16" s="186"/>
      <c r="R16" s="165"/>
      <c r="S16" s="165"/>
      <c r="T16" s="165"/>
      <c r="U16" s="165"/>
      <c r="V16" s="252"/>
      <c r="W16" s="165"/>
      <c r="X16" s="165"/>
      <c r="Y16" s="165"/>
      <c r="Z16" s="165"/>
      <c r="AA16" s="161"/>
      <c r="AI16" s="385"/>
      <c r="AJ16" s="384"/>
      <c r="AK16" s="384"/>
      <c r="AL16" s="384"/>
      <c r="AM16" s="384"/>
      <c r="AN16" s="384"/>
      <c r="AT16" s="26"/>
      <c r="AU16" s="98"/>
      <c r="AV16" s="98"/>
      <c r="AW16" s="98"/>
    </row>
    <row r="17" spans="1:49" ht="13.5" thickBot="1" x14ac:dyDescent="0.25">
      <c r="A17" s="26"/>
      <c r="B17" s="274">
        <f>VLOOKUP($C$13,$B$33:$N$35,1)</f>
        <v>20</v>
      </c>
      <c r="C17" s="274" t="str">
        <f>VLOOKUP($C$13,$B$33:$N$35,12)</f>
        <v>48-5804</v>
      </c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346"/>
      <c r="P17" s="98"/>
      <c r="Q17" s="186"/>
      <c r="R17" s="165"/>
      <c r="S17" s="165"/>
      <c r="T17" s="165"/>
      <c r="U17" s="165"/>
      <c r="V17" s="252"/>
      <c r="W17" s="165"/>
      <c r="X17" s="165"/>
      <c r="Y17" s="165"/>
      <c r="Z17" s="165"/>
      <c r="AA17" s="161"/>
      <c r="AI17" s="385"/>
      <c r="AJ17" s="384"/>
      <c r="AK17" s="384"/>
      <c r="AL17" s="384"/>
      <c r="AM17" s="384"/>
      <c r="AN17" s="384"/>
      <c r="AT17" s="26"/>
      <c r="AU17" s="98"/>
      <c r="AV17" s="98"/>
      <c r="AW17" s="98"/>
    </row>
    <row r="18" spans="1:49" x14ac:dyDescent="0.2">
      <c r="A18" s="2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346"/>
      <c r="P18" s="98"/>
      <c r="Q18" s="186"/>
      <c r="R18" s="165"/>
      <c r="S18" s="165"/>
      <c r="T18" s="165"/>
      <c r="U18" s="165"/>
      <c r="V18" s="252"/>
      <c r="W18" s="165"/>
      <c r="X18" s="165"/>
      <c r="Y18" s="165"/>
      <c r="Z18" s="165"/>
      <c r="AA18" s="161"/>
      <c r="AI18" s="385"/>
      <c r="AJ18" s="384"/>
      <c r="AK18" s="384"/>
      <c r="AL18" s="384"/>
      <c r="AM18" s="384"/>
      <c r="AN18" s="384"/>
      <c r="AT18" s="26"/>
      <c r="AU18" s="98"/>
      <c r="AV18" s="98"/>
      <c r="AW18" s="98"/>
    </row>
    <row r="19" spans="1:49" ht="13.15" customHeight="1" thickBot="1" x14ac:dyDescent="0.25">
      <c r="A19" s="26"/>
      <c r="B19" s="186" t="s">
        <v>564</v>
      </c>
      <c r="C19" s="186"/>
      <c r="D19" s="186"/>
      <c r="E19" s="186"/>
      <c r="F19" s="186"/>
      <c r="G19" s="186"/>
      <c r="H19" s="186"/>
      <c r="I19" s="186"/>
      <c r="J19" s="392"/>
      <c r="K19" s="186"/>
      <c r="L19" s="186"/>
      <c r="M19" s="186"/>
      <c r="N19" s="186"/>
      <c r="O19" s="346"/>
      <c r="P19" s="98"/>
      <c r="Q19" s="186"/>
      <c r="R19" s="165"/>
      <c r="S19" s="165"/>
      <c r="T19" s="165"/>
      <c r="U19" s="165"/>
      <c r="V19" s="252"/>
      <c r="W19" s="165"/>
      <c r="X19" s="165"/>
      <c r="Y19" s="165"/>
      <c r="Z19" s="165"/>
      <c r="AA19" s="161"/>
      <c r="AI19" s="385"/>
      <c r="AJ19" s="384"/>
      <c r="AK19" s="384"/>
      <c r="AL19" s="384"/>
      <c r="AM19" s="384"/>
      <c r="AN19" s="384"/>
      <c r="AT19" s="26"/>
      <c r="AU19" s="98"/>
      <c r="AV19" s="98"/>
      <c r="AW19" s="98"/>
    </row>
    <row r="20" spans="1:49" ht="13.5" thickBot="1" x14ac:dyDescent="0.25">
      <c r="A20" s="26"/>
      <c r="B20" s="383" t="s">
        <v>562</v>
      </c>
      <c r="C20" s="382" t="s">
        <v>541</v>
      </c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346"/>
      <c r="P20" s="98"/>
      <c r="Q20" s="186"/>
      <c r="R20" s="165"/>
      <c r="S20" s="165"/>
      <c r="T20" s="165"/>
      <c r="U20" s="165"/>
      <c r="V20" s="252"/>
      <c r="W20" s="165"/>
      <c r="X20" s="165"/>
      <c r="Y20" s="165"/>
      <c r="Z20" s="165"/>
      <c r="AA20" s="161"/>
      <c r="AI20" s="385"/>
      <c r="AJ20" s="384"/>
      <c r="AK20" s="384"/>
      <c r="AL20" s="384"/>
      <c r="AM20" s="384"/>
      <c r="AN20" s="384"/>
      <c r="AT20" s="26"/>
      <c r="AU20" s="98"/>
      <c r="AV20" s="98"/>
      <c r="AW20" s="98"/>
    </row>
    <row r="21" spans="1:49" ht="15.75" thickBot="1" x14ac:dyDescent="0.25">
      <c r="A21" s="26"/>
      <c r="B21" s="274">
        <f>VLOOKUP($C$13,$B$33:$N$35,1)</f>
        <v>20</v>
      </c>
      <c r="C21" s="274" t="str">
        <f>VLOOKUP($C$13,$B$33:$N$35,13)</f>
        <v>48-5801</v>
      </c>
      <c r="D21" s="186"/>
      <c r="E21" s="186"/>
      <c r="F21" s="186"/>
      <c r="G21" s="75"/>
      <c r="H21" s="186"/>
      <c r="I21" s="186"/>
      <c r="J21" s="378"/>
      <c r="K21" s="186"/>
      <c r="L21" s="186"/>
      <c r="M21" s="186"/>
      <c r="N21" s="186"/>
      <c r="O21" s="346"/>
      <c r="P21" s="98"/>
      <c r="Q21" s="186"/>
      <c r="R21" s="165"/>
      <c r="S21" s="165"/>
      <c r="T21" s="165"/>
      <c r="U21" s="165"/>
      <c r="V21" s="252"/>
      <c r="W21" s="165"/>
      <c r="X21" s="165"/>
      <c r="Y21" s="165"/>
      <c r="Z21" s="165"/>
      <c r="AA21" s="161"/>
      <c r="AI21" s="385"/>
      <c r="AJ21" s="384"/>
      <c r="AK21" s="384"/>
      <c r="AL21" s="384"/>
      <c r="AM21" s="384"/>
      <c r="AN21" s="384"/>
      <c r="AT21" s="26"/>
      <c r="AU21" s="98"/>
      <c r="AV21" s="98"/>
      <c r="AW21" s="98"/>
    </row>
    <row r="22" spans="1:49" ht="13.15" customHeight="1" thickBot="1" x14ac:dyDescent="0.25">
      <c r="A22" s="26"/>
      <c r="B22" s="186"/>
      <c r="C22" s="186"/>
      <c r="D22" s="186"/>
      <c r="E22" s="391" t="s">
        <v>566</v>
      </c>
      <c r="F22" s="390"/>
      <c r="G22" s="389" t="s">
        <v>541</v>
      </c>
      <c r="H22" s="186"/>
      <c r="I22" s="186"/>
      <c r="J22" s="186"/>
      <c r="K22" s="186"/>
      <c r="L22" s="186"/>
      <c r="M22" s="186"/>
      <c r="N22" s="186"/>
      <c r="O22" s="346"/>
      <c r="P22" s="98"/>
      <c r="Q22" s="186"/>
      <c r="R22" s="165"/>
      <c r="S22" s="165"/>
      <c r="T22" s="165"/>
      <c r="U22" s="165"/>
      <c r="V22" s="252"/>
      <c r="W22" s="165"/>
      <c r="X22" s="165"/>
      <c r="Y22" s="165"/>
      <c r="Z22" s="165"/>
      <c r="AA22" s="161"/>
      <c r="AI22" s="385"/>
      <c r="AJ22" s="384"/>
      <c r="AK22" s="384"/>
      <c r="AL22" s="384"/>
      <c r="AM22" s="384"/>
      <c r="AN22" s="384"/>
      <c r="AT22" s="26"/>
      <c r="AU22" s="98"/>
      <c r="AV22" s="98"/>
      <c r="AW22" s="98"/>
    </row>
    <row r="23" spans="1:49" ht="13.5" thickBot="1" x14ac:dyDescent="0.25">
      <c r="A23" s="26"/>
      <c r="B23" s="186" t="s">
        <v>565</v>
      </c>
      <c r="C23" s="186"/>
      <c r="D23" s="186"/>
      <c r="E23" s="388" t="s">
        <v>426</v>
      </c>
      <c r="F23" s="387"/>
      <c r="G23" s="386" t="s">
        <v>425</v>
      </c>
      <c r="H23" s="186"/>
      <c r="I23" s="186"/>
      <c r="J23" s="186"/>
      <c r="K23" s="186"/>
      <c r="L23" s="186"/>
      <c r="M23" s="186"/>
      <c r="N23" s="186"/>
      <c r="O23" s="346"/>
      <c r="P23" s="98"/>
      <c r="Q23" s="186"/>
      <c r="R23" s="165"/>
      <c r="S23" s="165"/>
      <c r="T23" s="165"/>
      <c r="U23" s="165"/>
      <c r="V23" s="252"/>
      <c r="W23" s="165"/>
      <c r="X23" s="165"/>
      <c r="Y23" s="165"/>
      <c r="Z23" s="165"/>
      <c r="AA23" s="161"/>
      <c r="AI23" s="385"/>
      <c r="AJ23" s="384"/>
      <c r="AK23" s="384"/>
      <c r="AL23" s="384"/>
      <c r="AM23" s="384"/>
      <c r="AN23" s="384"/>
      <c r="AT23" s="26"/>
    </row>
    <row r="24" spans="1:49" ht="13.15" customHeight="1" thickBot="1" x14ac:dyDescent="0.25">
      <c r="A24" s="26"/>
      <c r="B24" s="383" t="s">
        <v>411</v>
      </c>
      <c r="C24" s="382" t="s">
        <v>541</v>
      </c>
      <c r="D24" s="186"/>
      <c r="E24" s="381" t="s">
        <v>424</v>
      </c>
      <c r="F24" s="380"/>
      <c r="G24" s="379" t="s">
        <v>423</v>
      </c>
      <c r="H24" s="186"/>
      <c r="I24" s="186"/>
      <c r="J24" s="186"/>
      <c r="K24" s="186"/>
      <c r="L24" s="186"/>
      <c r="M24" s="186"/>
      <c r="N24" s="378"/>
      <c r="O24" s="377"/>
      <c r="P24" s="98"/>
      <c r="Q24" s="186"/>
      <c r="R24" s="165"/>
      <c r="S24" s="165"/>
      <c r="T24" s="165"/>
      <c r="U24" s="165"/>
      <c r="V24" s="252"/>
      <c r="W24" s="165"/>
      <c r="X24" s="165"/>
      <c r="Y24" s="165"/>
      <c r="Z24" s="165"/>
      <c r="AA24" s="161"/>
      <c r="AT24" s="26"/>
    </row>
    <row r="25" spans="1:49" ht="13.5" thickBot="1" x14ac:dyDescent="0.25">
      <c r="A25" s="26"/>
      <c r="B25" s="274">
        <f>VLOOKUP($C$13,$B$38:$N$38,1)</f>
        <v>15</v>
      </c>
      <c r="C25" s="274" t="str">
        <f>VLOOKUP($C$13,$B$38:$N$38,12)</f>
        <v>48-5806</v>
      </c>
      <c r="D25" s="186"/>
      <c r="E25" s="75"/>
      <c r="F25" s="75"/>
      <c r="G25" s="75"/>
      <c r="H25" s="186"/>
      <c r="I25" s="186"/>
      <c r="J25" s="186"/>
      <c r="K25" s="186"/>
      <c r="L25" s="186"/>
      <c r="M25" s="186"/>
      <c r="N25" s="186"/>
      <c r="O25" s="346"/>
      <c r="P25" s="98"/>
      <c r="Q25" s="186"/>
      <c r="R25" s="165"/>
      <c r="S25" s="165"/>
      <c r="T25" s="165"/>
      <c r="U25" s="165"/>
      <c r="V25" s="252"/>
      <c r="W25" s="165"/>
      <c r="X25" s="165"/>
      <c r="Y25" s="165"/>
      <c r="Z25" s="165"/>
      <c r="AA25" s="161"/>
      <c r="AT25" s="26"/>
    </row>
    <row r="26" spans="1:49" x14ac:dyDescent="0.2">
      <c r="A26" s="2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346"/>
      <c r="P26" s="98"/>
      <c r="Q26" s="186"/>
      <c r="R26" s="165"/>
      <c r="S26" s="165"/>
      <c r="T26" s="165"/>
      <c r="U26" s="165"/>
      <c r="V26" s="252"/>
      <c r="W26" s="165"/>
      <c r="X26" s="165"/>
      <c r="Y26" s="165"/>
      <c r="Z26" s="165"/>
      <c r="AA26" s="161"/>
      <c r="AT26" s="26"/>
    </row>
    <row r="27" spans="1:49" x14ac:dyDescent="0.2">
      <c r="A27" s="26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346"/>
      <c r="P27" s="98"/>
      <c r="Q27" s="186"/>
      <c r="R27" s="165"/>
      <c r="S27" s="165"/>
      <c r="T27" s="165"/>
      <c r="U27" s="165"/>
      <c r="V27" s="252"/>
      <c r="W27" s="165"/>
      <c r="X27" s="165"/>
      <c r="Y27" s="165"/>
      <c r="Z27" s="165"/>
      <c r="AA27" s="161"/>
      <c r="AT27" s="26"/>
    </row>
    <row r="28" spans="1:49" x14ac:dyDescent="0.2">
      <c r="A28" s="180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0"/>
      <c r="P28" s="98"/>
      <c r="Q28" s="186"/>
      <c r="R28" s="255"/>
      <c r="S28" s="165"/>
      <c r="T28" s="165"/>
      <c r="U28" s="165"/>
      <c r="V28" s="252"/>
      <c r="W28" s="165"/>
      <c r="X28" s="165"/>
      <c r="Y28" s="165"/>
      <c r="Z28" s="165"/>
      <c r="AA28" s="161"/>
      <c r="AT28" s="26"/>
    </row>
    <row r="29" spans="1:49" ht="13.5" hidden="1" thickBot="1" x14ac:dyDescent="0.25">
      <c r="A29" s="180"/>
      <c r="B29" s="345" t="s">
        <v>406</v>
      </c>
      <c r="C29" s="804" t="s">
        <v>391</v>
      </c>
      <c r="D29" s="805"/>
      <c r="E29" s="805"/>
      <c r="F29" s="805"/>
      <c r="G29" s="806"/>
      <c r="H29" s="804" t="s">
        <v>390</v>
      </c>
      <c r="I29" s="805"/>
      <c r="J29" s="805"/>
      <c r="K29" s="805"/>
      <c r="L29" s="806"/>
      <c r="M29" s="815" t="s">
        <v>422</v>
      </c>
      <c r="N29" s="816"/>
      <c r="O29" s="376"/>
      <c r="P29" s="98"/>
      <c r="Q29" s="186"/>
      <c r="R29" s="165"/>
      <c r="S29" s="165"/>
      <c r="T29" s="165"/>
      <c r="U29" s="165"/>
      <c r="V29" s="252"/>
      <c r="W29" s="165"/>
      <c r="X29" s="98"/>
      <c r="Y29" s="98"/>
      <c r="Z29" s="98"/>
      <c r="AA29" s="161"/>
      <c r="AT29" s="26"/>
    </row>
    <row r="30" spans="1:49" hidden="1" x14ac:dyDescent="0.2">
      <c r="A30" s="180"/>
      <c r="B30" s="254" t="s">
        <v>388</v>
      </c>
      <c r="C30" s="236" t="s">
        <v>387</v>
      </c>
      <c r="D30" s="235" t="s">
        <v>386</v>
      </c>
      <c r="E30" s="235" t="s">
        <v>386</v>
      </c>
      <c r="F30" s="234" t="s">
        <v>385</v>
      </c>
      <c r="G30" s="233" t="s">
        <v>385</v>
      </c>
      <c r="H30" s="236" t="s">
        <v>387</v>
      </c>
      <c r="I30" s="235" t="s">
        <v>386</v>
      </c>
      <c r="J30" s="235" t="s">
        <v>386</v>
      </c>
      <c r="K30" s="234" t="s">
        <v>385</v>
      </c>
      <c r="L30" s="233" t="s">
        <v>385</v>
      </c>
      <c r="M30" s="244" t="s">
        <v>385</v>
      </c>
      <c r="N30" s="368" t="s">
        <v>385</v>
      </c>
      <c r="O30" s="341"/>
      <c r="P30" s="98"/>
      <c r="Q30" s="186"/>
      <c r="R30" s="165"/>
      <c r="S30" s="165"/>
      <c r="T30" s="165"/>
      <c r="U30" s="165"/>
      <c r="V30" s="252"/>
      <c r="W30" s="165"/>
      <c r="X30" s="98"/>
      <c r="Y30" s="98"/>
      <c r="Z30" s="98"/>
      <c r="AA30" s="161"/>
      <c r="AT30" s="26"/>
    </row>
    <row r="31" spans="1:49" hidden="1" x14ac:dyDescent="0.2">
      <c r="A31" s="346"/>
      <c r="B31" s="239" t="s">
        <v>24</v>
      </c>
      <c r="C31" s="222" t="s">
        <v>383</v>
      </c>
      <c r="D31" s="221" t="s">
        <v>421</v>
      </c>
      <c r="E31" s="221" t="s">
        <v>420</v>
      </c>
      <c r="F31" s="220" t="s">
        <v>382</v>
      </c>
      <c r="G31" s="219" t="s">
        <v>381</v>
      </c>
      <c r="H31" s="222" t="s">
        <v>383</v>
      </c>
      <c r="I31" s="221" t="s">
        <v>421</v>
      </c>
      <c r="J31" s="221" t="s">
        <v>420</v>
      </c>
      <c r="K31" s="220" t="s">
        <v>382</v>
      </c>
      <c r="L31" s="219" t="s">
        <v>381</v>
      </c>
      <c r="M31" s="179" t="s">
        <v>419</v>
      </c>
      <c r="N31" s="347" t="s">
        <v>418</v>
      </c>
      <c r="O31" s="341"/>
      <c r="P31" s="98"/>
      <c r="Q31" s="10"/>
      <c r="R31" s="162"/>
      <c r="S31" s="162"/>
      <c r="T31" s="162"/>
      <c r="U31" s="10"/>
      <c r="V31" s="10"/>
      <c r="W31" s="162"/>
      <c r="X31" s="162"/>
      <c r="Y31" s="162"/>
      <c r="Z31" s="10"/>
      <c r="AA31" s="10"/>
      <c r="AT31" s="26"/>
    </row>
    <row r="32" spans="1:49" ht="13.5" hidden="1" thickBot="1" x14ac:dyDescent="0.25">
      <c r="A32" s="346"/>
      <c r="B32" s="250" t="s">
        <v>377</v>
      </c>
      <c r="C32" s="213" t="s">
        <v>343</v>
      </c>
      <c r="D32" s="375" t="s">
        <v>376</v>
      </c>
      <c r="E32" s="375" t="s">
        <v>376</v>
      </c>
      <c r="F32" s="211" t="s">
        <v>375</v>
      </c>
      <c r="G32" s="210" t="s">
        <v>374</v>
      </c>
      <c r="H32" s="213" t="s">
        <v>343</v>
      </c>
      <c r="I32" s="212" t="s">
        <v>376</v>
      </c>
      <c r="J32" s="212" t="s">
        <v>376</v>
      </c>
      <c r="K32" s="211" t="s">
        <v>375</v>
      </c>
      <c r="L32" s="210" t="s">
        <v>374</v>
      </c>
      <c r="M32" s="248" t="s">
        <v>373</v>
      </c>
      <c r="N32" s="374" t="s">
        <v>373</v>
      </c>
      <c r="O32" s="341"/>
      <c r="P32" s="98"/>
      <c r="Q32" s="10"/>
      <c r="R32" s="162"/>
      <c r="S32" s="162"/>
      <c r="T32" s="162"/>
      <c r="U32" s="161"/>
      <c r="V32" s="161"/>
      <c r="W32" s="162"/>
      <c r="X32" s="162"/>
      <c r="Y32" s="162"/>
      <c r="Z32" s="161"/>
      <c r="AA32" s="161"/>
      <c r="AT32" s="26"/>
    </row>
    <row r="33" spans="1:46" hidden="1" x14ac:dyDescent="0.2">
      <c r="A33" s="180"/>
      <c r="B33" s="246">
        <v>15</v>
      </c>
      <c r="C33" s="373">
        <f>VLOOKUP($C$5,$B$45:$K$82,1)</f>
        <v>1483</v>
      </c>
      <c r="D33" s="372">
        <f>VLOOKUP($C$5,$B$45:$K$82,2)</f>
        <v>23</v>
      </c>
      <c r="E33" s="372">
        <f>VLOOKUP($C$5,$B$45:$K$82,3)</f>
        <v>47</v>
      </c>
      <c r="F33" s="359" t="str">
        <f>VLOOKUP($C$5,$B$45:$K$82,4)</f>
        <v>50-20860</v>
      </c>
      <c r="G33" s="363" t="str">
        <f>VLOOKUP($C$5,$B$45:$K$82,5)</f>
        <v>49-20860</v>
      </c>
      <c r="H33" s="371">
        <f>VLOOKUP($C$5,$B$45:$K$82,6)</f>
        <v>1581</v>
      </c>
      <c r="I33" s="370">
        <f>VLOOKUP($C$5,$B$45:$K$82,7)</f>
        <v>23</v>
      </c>
      <c r="J33" s="369">
        <f>VLOOKUP($C$5,$B$45:$K$82,8)</f>
        <v>51</v>
      </c>
      <c r="K33" s="359" t="str">
        <f>VLOOKUP($C$5,$B$45:$K$82,9)</f>
        <v>50-20880</v>
      </c>
      <c r="L33" s="359" t="str">
        <f>VLOOKUP($C$5,$B$45:$K$82,10)</f>
        <v>49-20880</v>
      </c>
      <c r="M33" s="244" t="s">
        <v>417</v>
      </c>
      <c r="N33" s="368" t="s">
        <v>416</v>
      </c>
      <c r="O33" s="341"/>
      <c r="P33" s="98"/>
      <c r="Q33" s="10"/>
      <c r="R33" s="162"/>
      <c r="S33" s="162"/>
      <c r="T33" s="162"/>
      <c r="U33" s="161"/>
      <c r="V33" s="161"/>
      <c r="W33" s="162"/>
      <c r="X33" s="162"/>
      <c r="Y33" s="162"/>
      <c r="Z33" s="161"/>
      <c r="AA33" s="161"/>
      <c r="AT33" s="26"/>
    </row>
    <row r="34" spans="1:46" hidden="1" x14ac:dyDescent="0.2">
      <c r="A34" s="180"/>
      <c r="B34" s="239">
        <v>20</v>
      </c>
      <c r="C34" s="365">
        <f>VLOOKUP($C$5,$B$45:$K$82,1)</f>
        <v>1483</v>
      </c>
      <c r="D34" s="364">
        <f>VLOOKUP($C$5,$B$45:$K$82,2)</f>
        <v>23</v>
      </c>
      <c r="E34" s="364">
        <f>VLOOKUP($C$5,$B$45:$K$82,3)</f>
        <v>47</v>
      </c>
      <c r="F34" s="359" t="str">
        <f>VLOOKUP($C$5,$B$45:$K$82,4)</f>
        <v>50-20860</v>
      </c>
      <c r="G34" s="363" t="str">
        <f>VLOOKUP($C$5,$B$45:$K$82,5)</f>
        <v>49-20860</v>
      </c>
      <c r="H34" s="367">
        <f>VLOOKUP($C$5,$B$45:$K$82,6)</f>
        <v>1581</v>
      </c>
      <c r="I34" s="366">
        <f>VLOOKUP($C$5,$B$45:$K$82,7)</f>
        <v>23</v>
      </c>
      <c r="J34" s="364">
        <f>VLOOKUP($C$5,$B$45:$K$82,8)</f>
        <v>51</v>
      </c>
      <c r="K34" s="359" t="str">
        <f>VLOOKUP($C$5,$B$45:$K$82,9)</f>
        <v>50-20880</v>
      </c>
      <c r="L34" s="359" t="str">
        <f>VLOOKUP($C$5,$B$45:$K$82,10)</f>
        <v>49-20880</v>
      </c>
      <c r="M34" s="179" t="s">
        <v>415</v>
      </c>
      <c r="N34" s="358" t="s">
        <v>414</v>
      </c>
      <c r="O34" s="341"/>
      <c r="P34" s="98"/>
      <c r="Q34" s="10"/>
      <c r="R34" s="10"/>
      <c r="S34" s="10"/>
      <c r="T34" s="10"/>
      <c r="U34" s="10"/>
      <c r="V34" s="10"/>
      <c r="W34" s="162"/>
      <c r="X34" s="162"/>
      <c r="Y34" s="162"/>
      <c r="Z34" s="161"/>
      <c r="AA34" s="161"/>
      <c r="AT34" s="26"/>
    </row>
    <row r="35" spans="1:46" hidden="1" x14ac:dyDescent="0.2">
      <c r="A35" s="346"/>
      <c r="B35" s="224">
        <v>25</v>
      </c>
      <c r="C35" s="365">
        <f>VLOOKUP($C$5,$B$45:$K$82,1)</f>
        <v>1483</v>
      </c>
      <c r="D35" s="364">
        <f>VLOOKUP($C$5,$B$45:$K$82,2)</f>
        <v>23</v>
      </c>
      <c r="E35" s="364">
        <f>VLOOKUP($C$5,$B$45:$K$82,3)</f>
        <v>47</v>
      </c>
      <c r="F35" s="359" t="str">
        <f>VLOOKUP($C$5,$B$45:$K$82,4)</f>
        <v>50-20860</v>
      </c>
      <c r="G35" s="363" t="str">
        <f>VLOOKUP($C$5,$B$45:$K$82,5)</f>
        <v>49-20860</v>
      </c>
      <c r="H35" s="362">
        <f>VLOOKUP($C$5,$B$45:$K$82,6)</f>
        <v>1581</v>
      </c>
      <c r="I35" s="361">
        <f>VLOOKUP($C$5,$B$45:$K$82,7)</f>
        <v>23</v>
      </c>
      <c r="J35" s="360">
        <f>VLOOKUP($C$5,$B$45:$K$82,8)</f>
        <v>51</v>
      </c>
      <c r="K35" s="359" t="str">
        <f>VLOOKUP($C$5,$B$45:$K$82,9)</f>
        <v>50-20880</v>
      </c>
      <c r="L35" s="359" t="str">
        <f>VLOOKUP($C$5,$B$45:$K$82,10)</f>
        <v>49-20880</v>
      </c>
      <c r="M35" s="179" t="s">
        <v>413</v>
      </c>
      <c r="N35" s="358" t="s">
        <v>412</v>
      </c>
      <c r="O35" s="341"/>
      <c r="P35" s="98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T35" s="26"/>
    </row>
    <row r="36" spans="1:46" ht="13.9" hidden="1" customHeight="1" thickBot="1" x14ac:dyDescent="0.25">
      <c r="A36" s="346"/>
      <c r="B36" s="357"/>
      <c r="C36" s="356"/>
      <c r="D36" s="355"/>
      <c r="E36" s="355"/>
      <c r="F36" s="350"/>
      <c r="G36" s="354"/>
      <c r="H36" s="353"/>
      <c r="I36" s="352"/>
      <c r="J36" s="351"/>
      <c r="K36" s="350"/>
      <c r="L36" s="349"/>
      <c r="M36" s="348"/>
      <c r="N36" s="347"/>
      <c r="O36" s="341"/>
      <c r="P36" s="98"/>
      <c r="Q36" s="10"/>
      <c r="R36" s="10"/>
      <c r="S36" s="158"/>
      <c r="T36" s="10"/>
      <c r="U36" s="10"/>
      <c r="V36" s="10"/>
      <c r="W36" s="10"/>
      <c r="X36" s="10"/>
      <c r="Y36" s="10"/>
      <c r="Z36" s="10"/>
      <c r="AA36" s="157"/>
      <c r="AT36" s="26"/>
    </row>
    <row r="37" spans="1:46" ht="13.9" hidden="1" customHeight="1" thickBot="1" x14ac:dyDescent="0.25">
      <c r="A37" s="346"/>
      <c r="B37" s="345" t="s">
        <v>405</v>
      </c>
      <c r="C37" s="344"/>
      <c r="D37" s="268"/>
      <c r="E37" s="268"/>
      <c r="F37" s="343"/>
      <c r="G37" s="342"/>
      <c r="H37" s="338"/>
      <c r="I37" s="268"/>
      <c r="J37" s="268"/>
      <c r="K37" s="343"/>
      <c r="L37" s="342"/>
      <c r="M37" s="334" t="s">
        <v>411</v>
      </c>
      <c r="N37" s="333"/>
      <c r="O37" s="341"/>
      <c r="P37" s="98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T37" s="26"/>
    </row>
    <row r="38" spans="1:46" ht="13.9" hidden="1" customHeight="1" thickBot="1" x14ac:dyDescent="0.25">
      <c r="A38" s="340"/>
      <c r="B38" s="339">
        <v>15</v>
      </c>
      <c r="C38" s="338">
        <f>VLOOKUP($C$5,$B$45:$K$82,1)</f>
        <v>1483</v>
      </c>
      <c r="D38" s="337">
        <f>VLOOKUP($C$5,$B$45:$K$82,2)</f>
        <v>23</v>
      </c>
      <c r="E38" s="268">
        <f>VLOOKUP($C$5,$B$45:$K$82,3)</f>
        <v>47</v>
      </c>
      <c r="F38" s="335" t="str">
        <f>VLOOKUP($C$5,$B$45:$K$82,4)</f>
        <v>50-20860</v>
      </c>
      <c r="G38" s="335" t="str">
        <f>VLOOKUP($C$5,$B$45:$K$82,5)</f>
        <v>49-20860</v>
      </c>
      <c r="H38" s="336">
        <f>VLOOKUP($C$5,$B$45:$K$82,6)</f>
        <v>1581</v>
      </c>
      <c r="I38" s="268">
        <f>VLOOKUP($C$5,$B$45:$K$82,7)</f>
        <v>23</v>
      </c>
      <c r="J38" s="268">
        <f>VLOOKUP($C$5,$B$45:$K$82,8)</f>
        <v>51</v>
      </c>
      <c r="K38" s="335" t="str">
        <f>VLOOKUP($C$5,$B$45:$K$82,9)</f>
        <v>50-20880</v>
      </c>
      <c r="L38" s="335" t="str">
        <f>VLOOKUP($C$5,$B$45:$K$82,10)</f>
        <v>49-20880</v>
      </c>
      <c r="M38" s="334" t="s">
        <v>410</v>
      </c>
      <c r="N38" s="333"/>
      <c r="O38" s="332"/>
      <c r="P38" s="206"/>
      <c r="Q38" s="160"/>
      <c r="R38" s="160"/>
      <c r="S38" s="331"/>
      <c r="T38" s="160"/>
      <c r="U38" s="160"/>
      <c r="V38" s="10"/>
      <c r="W38" s="10"/>
      <c r="X38" s="10"/>
      <c r="Y38" s="10"/>
      <c r="Z38" s="10"/>
      <c r="AA38" s="10"/>
      <c r="AT38" s="26"/>
    </row>
    <row r="39" spans="1:46" ht="13.9" hidden="1" customHeight="1" x14ac:dyDescent="0.2">
      <c r="A39" s="37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98"/>
      <c r="Q39" s="10"/>
      <c r="R39" s="10"/>
      <c r="S39" s="157"/>
      <c r="T39" s="10"/>
      <c r="U39" s="10"/>
      <c r="V39" s="10"/>
      <c r="W39" s="10"/>
      <c r="X39" s="10"/>
      <c r="Y39" s="10"/>
      <c r="Z39" s="10"/>
      <c r="AA39" s="10"/>
      <c r="AT39" s="26"/>
    </row>
    <row r="40" spans="1:46" ht="13.9" hidden="1" customHeight="1" thickBot="1" x14ac:dyDescent="0.25">
      <c r="A40" s="37"/>
      <c r="B40" s="165"/>
      <c r="C40" s="75"/>
      <c r="D40" s="165"/>
      <c r="E40" s="186"/>
      <c r="F40" s="186"/>
      <c r="G40" s="186"/>
      <c r="H40" s="186"/>
      <c r="I40" s="165"/>
      <c r="J40" s="186"/>
      <c r="K40" s="186"/>
      <c r="L40" s="186"/>
      <c r="M40" s="98"/>
      <c r="N40" s="98"/>
      <c r="O40" s="98"/>
      <c r="P40" s="98"/>
      <c r="Q40" s="10"/>
      <c r="R40" s="10"/>
      <c r="S40" s="157"/>
      <c r="T40" s="10"/>
      <c r="U40" s="10"/>
      <c r="V40" s="10"/>
      <c r="W40" s="10"/>
      <c r="X40" s="10"/>
      <c r="Y40" s="10"/>
      <c r="Z40" s="10"/>
      <c r="AA40" s="10"/>
      <c r="AT40" s="26"/>
    </row>
    <row r="41" spans="1:46" ht="13.9" hidden="1" customHeight="1" thickBot="1" x14ac:dyDescent="0.25">
      <c r="A41" s="26"/>
      <c r="B41" s="811" t="s">
        <v>348</v>
      </c>
      <c r="C41" s="811"/>
      <c r="D41" s="811"/>
      <c r="E41" s="811"/>
      <c r="F41" s="811"/>
      <c r="G41" s="811"/>
      <c r="H41" s="811"/>
      <c r="I41" s="812"/>
      <c r="J41" s="813"/>
      <c r="K41" s="814"/>
      <c r="L41" s="814"/>
      <c r="M41" s="784"/>
      <c r="N41" s="784"/>
      <c r="O41" s="784"/>
      <c r="P41" s="784"/>
      <c r="Q41" s="784"/>
      <c r="R41" s="785"/>
      <c r="S41" s="157" t="s">
        <v>346</v>
      </c>
      <c r="T41" s="10"/>
      <c r="U41" s="10"/>
      <c r="V41" s="10"/>
      <c r="W41" s="10"/>
      <c r="X41" s="10"/>
      <c r="Y41" s="10"/>
      <c r="Z41" s="10"/>
      <c r="AA41" s="10"/>
      <c r="AD41" s="311"/>
      <c r="AT41" s="26"/>
    </row>
    <row r="42" spans="1:46" ht="13.9" hidden="1" customHeight="1" thickBot="1" x14ac:dyDescent="0.25">
      <c r="A42" s="26"/>
      <c r="B42" s="330" t="s">
        <v>345</v>
      </c>
      <c r="C42" s="329"/>
      <c r="D42" s="329"/>
      <c r="E42" s="329"/>
      <c r="F42" s="328"/>
      <c r="G42" s="330" t="s">
        <v>344</v>
      </c>
      <c r="H42" s="329"/>
      <c r="I42" s="329"/>
      <c r="J42" s="329"/>
      <c r="K42" s="328"/>
      <c r="L42" s="327"/>
      <c r="M42" s="326"/>
      <c r="N42" s="325"/>
      <c r="O42" s="791"/>
      <c r="P42" s="792"/>
      <c r="Q42" s="792"/>
      <c r="R42" s="793"/>
      <c r="S42" s="10"/>
      <c r="T42" s="10"/>
      <c r="U42" s="10"/>
      <c r="V42" s="10"/>
      <c r="W42" s="10"/>
      <c r="X42" s="10"/>
      <c r="Y42" s="10"/>
      <c r="Z42" s="10"/>
      <c r="AA42" s="10"/>
      <c r="AD42" s="311"/>
      <c r="AT42" s="26"/>
    </row>
    <row r="43" spans="1:46" ht="13.9" hidden="1" customHeight="1" x14ac:dyDescent="0.2">
      <c r="A43" s="26"/>
      <c r="B43" s="317" t="s">
        <v>343</v>
      </c>
      <c r="C43" s="204" t="s">
        <v>4</v>
      </c>
      <c r="D43" s="324" t="s">
        <v>409</v>
      </c>
      <c r="E43" s="324"/>
      <c r="F43" s="323"/>
      <c r="G43" s="204" t="s">
        <v>343</v>
      </c>
      <c r="H43" s="204" t="s">
        <v>4</v>
      </c>
      <c r="I43" s="204" t="s">
        <v>409</v>
      </c>
      <c r="J43" s="204" t="s">
        <v>342</v>
      </c>
      <c r="K43" s="322"/>
      <c r="L43" s="322"/>
      <c r="M43" s="796"/>
      <c r="N43" s="796"/>
      <c r="O43" s="204"/>
      <c r="P43" s="204"/>
      <c r="Q43" s="798"/>
      <c r="R43" s="798"/>
      <c r="S43" s="157" t="s">
        <v>341</v>
      </c>
      <c r="T43" s="10"/>
      <c r="U43" s="10"/>
      <c r="V43" s="10"/>
      <c r="W43" s="10"/>
      <c r="X43" s="10"/>
      <c r="Y43" s="10"/>
      <c r="Z43" s="10"/>
      <c r="AA43" s="10"/>
      <c r="AD43" s="321"/>
      <c r="AT43" s="26"/>
    </row>
    <row r="44" spans="1:46" ht="13.9" hidden="1" customHeight="1" thickBot="1" x14ac:dyDescent="0.25">
      <c r="A44" s="26"/>
      <c r="B44" s="320"/>
      <c r="C44" s="319" t="s">
        <v>340</v>
      </c>
      <c r="D44" s="89" t="s">
        <v>408</v>
      </c>
      <c r="E44" s="319" t="s">
        <v>339</v>
      </c>
      <c r="F44" s="319" t="s">
        <v>338</v>
      </c>
      <c r="G44" s="319"/>
      <c r="H44" s="319" t="s">
        <v>340</v>
      </c>
      <c r="I44" s="319" t="s">
        <v>407</v>
      </c>
      <c r="J44" s="319" t="s">
        <v>339</v>
      </c>
      <c r="K44" s="319" t="s">
        <v>338</v>
      </c>
      <c r="L44" s="318"/>
      <c r="M44" s="2"/>
      <c r="N44" s="2"/>
      <c r="O44" s="2"/>
      <c r="P44" s="2"/>
      <c r="Q44" s="2"/>
      <c r="R44" s="2"/>
      <c r="S44" s="10"/>
      <c r="T44" s="10"/>
      <c r="U44" s="10"/>
      <c r="V44" s="10"/>
      <c r="W44" s="10"/>
      <c r="X44" s="10"/>
      <c r="Y44" s="10"/>
      <c r="Z44" s="10"/>
      <c r="AA44" s="10"/>
      <c r="AD44" s="313"/>
      <c r="AT44" s="26"/>
    </row>
    <row r="45" spans="1:46" ht="13.9" hidden="1" customHeight="1" x14ac:dyDescent="0.2">
      <c r="A45" s="26"/>
      <c r="B45" s="317">
        <v>0</v>
      </c>
      <c r="C45" s="316"/>
      <c r="D45" s="316"/>
      <c r="E45" s="316"/>
      <c r="F45" s="316"/>
      <c r="G45" s="204">
        <v>25</v>
      </c>
      <c r="H45" s="204">
        <v>7</v>
      </c>
      <c r="I45" s="204">
        <v>7</v>
      </c>
      <c r="J45" s="315" t="s">
        <v>337</v>
      </c>
      <c r="K45" s="314" t="s">
        <v>330</v>
      </c>
      <c r="L45" s="314"/>
      <c r="M45" s="3"/>
      <c r="N45" s="189"/>
      <c r="O45" s="189"/>
      <c r="P45" s="189"/>
      <c r="Q45" s="189"/>
      <c r="R45" s="189"/>
      <c r="S45" s="10"/>
      <c r="T45" s="10"/>
      <c r="U45" s="10"/>
      <c r="V45" s="10"/>
      <c r="W45" s="10"/>
      <c r="X45" s="10"/>
      <c r="Y45" s="10"/>
      <c r="Z45" s="10"/>
      <c r="AA45" s="10"/>
      <c r="AD45" s="313"/>
      <c r="AT45" s="26"/>
    </row>
    <row r="46" spans="1:46" ht="13.9" hidden="1" customHeight="1" x14ac:dyDescent="0.2">
      <c r="A46" s="26"/>
      <c r="B46" s="200">
        <v>25</v>
      </c>
      <c r="C46" s="2">
        <v>7</v>
      </c>
      <c r="D46" s="2">
        <v>7</v>
      </c>
      <c r="E46" s="3" t="s">
        <v>337</v>
      </c>
      <c r="F46" s="61" t="s">
        <v>330</v>
      </c>
      <c r="G46" s="2">
        <v>36</v>
      </c>
      <c r="H46" s="2">
        <v>7</v>
      </c>
      <c r="I46" s="2">
        <v>7</v>
      </c>
      <c r="J46" s="3" t="s">
        <v>334</v>
      </c>
      <c r="K46" s="201" t="s">
        <v>330</v>
      </c>
      <c r="L46" s="201"/>
      <c r="M46" s="189"/>
      <c r="N46" s="189"/>
      <c r="O46" s="189"/>
      <c r="P46" s="189"/>
      <c r="Q46" s="189"/>
      <c r="R46" s="189"/>
      <c r="S46" s="10"/>
      <c r="T46" s="10"/>
      <c r="U46" s="10"/>
      <c r="V46" s="10"/>
      <c r="AD46" s="313"/>
      <c r="AT46" s="26"/>
    </row>
    <row r="47" spans="1:46" ht="13.9" hidden="1" customHeight="1" x14ac:dyDescent="0.2">
      <c r="A47" s="26"/>
      <c r="B47" s="200">
        <v>36</v>
      </c>
      <c r="C47" s="2">
        <v>7</v>
      </c>
      <c r="D47" s="2">
        <v>7</v>
      </c>
      <c r="E47" s="3" t="s">
        <v>334</v>
      </c>
      <c r="F47" s="61" t="s">
        <v>330</v>
      </c>
      <c r="G47" s="2">
        <v>43</v>
      </c>
      <c r="H47" s="2">
        <v>7</v>
      </c>
      <c r="I47" s="2">
        <v>7</v>
      </c>
      <c r="J47" s="3" t="s">
        <v>331</v>
      </c>
      <c r="K47" s="201" t="s">
        <v>330</v>
      </c>
      <c r="L47" s="201"/>
      <c r="M47" s="189"/>
      <c r="N47" s="189"/>
      <c r="O47" s="189"/>
      <c r="P47" s="189"/>
      <c r="Q47" s="189"/>
      <c r="R47" s="189"/>
      <c r="S47" s="10"/>
      <c r="T47" s="10"/>
      <c r="U47" s="10"/>
      <c r="V47" s="10"/>
      <c r="AD47" s="313"/>
      <c r="AT47" s="26"/>
    </row>
    <row r="48" spans="1:46" ht="13.9" hidden="1" customHeight="1" x14ac:dyDescent="0.2">
      <c r="A48" s="26"/>
      <c r="B48" s="200">
        <v>43</v>
      </c>
      <c r="C48" s="2">
        <v>7</v>
      </c>
      <c r="D48" s="2">
        <v>7</v>
      </c>
      <c r="E48" s="3" t="s">
        <v>331</v>
      </c>
      <c r="F48" s="61" t="s">
        <v>330</v>
      </c>
      <c r="G48" s="2">
        <v>55</v>
      </c>
      <c r="H48" s="2">
        <v>7</v>
      </c>
      <c r="I48" s="2">
        <v>7</v>
      </c>
      <c r="J48" s="3" t="s">
        <v>327</v>
      </c>
      <c r="K48" s="192" t="s">
        <v>326</v>
      </c>
      <c r="L48" s="192"/>
      <c r="M48" s="189"/>
      <c r="N48" s="189"/>
      <c r="O48" s="189"/>
      <c r="P48" s="189"/>
      <c r="Q48" s="189"/>
      <c r="R48" s="189"/>
      <c r="S48" s="10"/>
      <c r="T48" s="10"/>
      <c r="U48" s="10"/>
      <c r="V48" s="10"/>
      <c r="AD48" s="313"/>
      <c r="AT48" s="26"/>
    </row>
    <row r="49" spans="1:46" ht="13.9" hidden="1" customHeight="1" x14ac:dyDescent="0.2">
      <c r="A49" s="26"/>
      <c r="B49" s="200">
        <v>55</v>
      </c>
      <c r="C49" s="2">
        <v>7</v>
      </c>
      <c r="D49" s="2">
        <v>7</v>
      </c>
      <c r="E49" s="3" t="s">
        <v>327</v>
      </c>
      <c r="F49" s="3" t="s">
        <v>326</v>
      </c>
      <c r="G49" s="2">
        <v>75</v>
      </c>
      <c r="H49" s="2">
        <v>8</v>
      </c>
      <c r="I49" s="2">
        <v>8</v>
      </c>
      <c r="J49" s="3" t="s">
        <v>323</v>
      </c>
      <c r="K49" s="192" t="s">
        <v>322</v>
      </c>
      <c r="L49" s="192"/>
      <c r="M49" s="189"/>
      <c r="N49" s="189"/>
      <c r="O49" s="189"/>
      <c r="P49" s="189"/>
      <c r="Q49" s="189"/>
      <c r="R49" s="189"/>
      <c r="S49" s="10"/>
      <c r="T49" s="10"/>
      <c r="U49" s="10"/>
      <c r="V49" s="10"/>
      <c r="AD49" s="313"/>
      <c r="AT49" s="26"/>
    </row>
    <row r="50" spans="1:46" ht="13.9" hidden="1" customHeight="1" x14ac:dyDescent="0.2">
      <c r="A50" s="26"/>
      <c r="B50" s="200">
        <v>75</v>
      </c>
      <c r="C50" s="2">
        <v>8</v>
      </c>
      <c r="D50" s="2">
        <v>8</v>
      </c>
      <c r="E50" s="3" t="s">
        <v>323</v>
      </c>
      <c r="F50" s="3" t="s">
        <v>322</v>
      </c>
      <c r="G50" s="2">
        <v>84</v>
      </c>
      <c r="H50" s="2">
        <v>9</v>
      </c>
      <c r="I50" s="2">
        <v>9</v>
      </c>
      <c r="J50" s="3" t="s">
        <v>319</v>
      </c>
      <c r="K50" s="192" t="s">
        <v>318</v>
      </c>
      <c r="L50" s="192"/>
      <c r="M50" s="189"/>
      <c r="N50" s="189"/>
      <c r="O50" s="189"/>
      <c r="P50" s="189"/>
      <c r="Q50" s="189"/>
      <c r="R50" s="189"/>
      <c r="S50" s="10"/>
      <c r="T50" s="10"/>
      <c r="U50" s="10"/>
      <c r="V50" s="10"/>
      <c r="AD50" s="313"/>
      <c r="AT50" s="26"/>
    </row>
    <row r="51" spans="1:46" ht="13.9" hidden="1" customHeight="1" x14ac:dyDescent="0.2">
      <c r="A51" s="26"/>
      <c r="B51" s="200">
        <v>84</v>
      </c>
      <c r="C51" s="2">
        <v>9</v>
      </c>
      <c r="D51" s="2">
        <v>9</v>
      </c>
      <c r="E51" s="3" t="s">
        <v>319</v>
      </c>
      <c r="F51" s="3" t="s">
        <v>318</v>
      </c>
      <c r="G51" s="2">
        <v>104</v>
      </c>
      <c r="H51" s="2">
        <v>10</v>
      </c>
      <c r="I51" s="2">
        <v>10</v>
      </c>
      <c r="J51" s="3" t="s">
        <v>315</v>
      </c>
      <c r="K51" s="192" t="s">
        <v>314</v>
      </c>
      <c r="L51" s="192"/>
      <c r="M51" s="189"/>
      <c r="N51" s="189"/>
      <c r="O51" s="189"/>
      <c r="P51" s="189"/>
      <c r="Q51" s="189"/>
      <c r="R51" s="189"/>
      <c r="S51" s="10"/>
      <c r="T51" s="10"/>
      <c r="U51" s="10"/>
      <c r="V51" s="10"/>
      <c r="AD51" s="313"/>
      <c r="AT51" s="26"/>
    </row>
    <row r="52" spans="1:46" ht="13.9" hidden="1" customHeight="1" x14ac:dyDescent="0.2">
      <c r="A52" s="26"/>
      <c r="B52" s="200">
        <v>104</v>
      </c>
      <c r="C52" s="2">
        <v>10</v>
      </c>
      <c r="D52" s="2">
        <v>10</v>
      </c>
      <c r="E52" s="3" t="s">
        <v>315</v>
      </c>
      <c r="F52" s="3" t="s">
        <v>314</v>
      </c>
      <c r="G52" s="2">
        <v>114</v>
      </c>
      <c r="H52" s="2">
        <v>10</v>
      </c>
      <c r="I52" s="2">
        <v>10</v>
      </c>
      <c r="J52" s="3" t="s">
        <v>311</v>
      </c>
      <c r="K52" s="192" t="s">
        <v>310</v>
      </c>
      <c r="L52" s="192"/>
      <c r="M52" s="189"/>
      <c r="N52" s="189"/>
      <c r="O52" s="189"/>
      <c r="P52" s="189"/>
      <c r="Q52" s="189"/>
      <c r="R52" s="189"/>
      <c r="S52" s="98"/>
      <c r="T52" s="10"/>
      <c r="U52" s="10"/>
      <c r="V52" s="10"/>
      <c r="AD52" s="313"/>
      <c r="AT52" s="26"/>
    </row>
    <row r="53" spans="1:46" ht="13.9" hidden="1" customHeight="1" x14ac:dyDescent="0.2">
      <c r="A53" s="26"/>
      <c r="B53" s="200">
        <v>114</v>
      </c>
      <c r="C53" s="2">
        <v>10</v>
      </c>
      <c r="D53" s="2">
        <v>10</v>
      </c>
      <c r="E53" s="3" t="s">
        <v>311</v>
      </c>
      <c r="F53" s="3" t="s">
        <v>310</v>
      </c>
      <c r="G53" s="2">
        <v>129</v>
      </c>
      <c r="H53" s="2">
        <v>11</v>
      </c>
      <c r="I53" s="2">
        <v>11</v>
      </c>
      <c r="J53" s="3" t="s">
        <v>307</v>
      </c>
      <c r="K53" s="192" t="s">
        <v>306</v>
      </c>
      <c r="L53" s="192"/>
      <c r="M53" s="189"/>
      <c r="N53" s="189"/>
      <c r="O53" s="189"/>
      <c r="P53" s="189"/>
      <c r="Q53" s="189"/>
      <c r="R53" s="189"/>
      <c r="S53" s="98"/>
      <c r="T53" s="10"/>
      <c r="U53" s="10"/>
      <c r="V53" s="10"/>
      <c r="AD53" s="313"/>
      <c r="AT53" s="26"/>
    </row>
    <row r="54" spans="1:46" ht="13.9" hidden="1" customHeight="1" x14ac:dyDescent="0.2">
      <c r="A54" s="26"/>
      <c r="B54" s="200">
        <v>129</v>
      </c>
      <c r="C54" s="2">
        <v>11</v>
      </c>
      <c r="D54" s="2">
        <v>11</v>
      </c>
      <c r="E54" s="3" t="s">
        <v>307</v>
      </c>
      <c r="F54" s="3" t="s">
        <v>306</v>
      </c>
      <c r="G54" s="2">
        <v>154</v>
      </c>
      <c r="H54" s="2">
        <v>11</v>
      </c>
      <c r="I54" s="2">
        <v>11</v>
      </c>
      <c r="J54" s="3" t="s">
        <v>303</v>
      </c>
      <c r="K54" s="192" t="s">
        <v>302</v>
      </c>
      <c r="L54" s="192"/>
      <c r="M54" s="189"/>
      <c r="N54" s="189"/>
      <c r="O54" s="189"/>
      <c r="P54" s="189"/>
      <c r="Q54" s="189" t="s">
        <v>301</v>
      </c>
      <c r="R54" s="189" t="s">
        <v>300</v>
      </c>
      <c r="S54" s="98"/>
      <c r="T54" s="10"/>
      <c r="U54" s="10"/>
      <c r="V54" s="10"/>
      <c r="AD54" s="311"/>
      <c r="AT54" s="26"/>
    </row>
    <row r="55" spans="1:46" ht="13.9" hidden="1" customHeight="1" x14ac:dyDescent="0.2">
      <c r="A55" s="26"/>
      <c r="B55" s="200">
        <v>154</v>
      </c>
      <c r="C55" s="2">
        <v>11</v>
      </c>
      <c r="D55" s="2">
        <v>11</v>
      </c>
      <c r="E55" s="3" t="s">
        <v>303</v>
      </c>
      <c r="F55" s="3" t="s">
        <v>302</v>
      </c>
      <c r="G55" s="61">
        <v>175</v>
      </c>
      <c r="H55" s="61">
        <v>12</v>
      </c>
      <c r="I55" s="61">
        <v>12</v>
      </c>
      <c r="J55" s="3" t="s">
        <v>299</v>
      </c>
      <c r="K55" s="192" t="s">
        <v>298</v>
      </c>
      <c r="L55" s="192"/>
      <c r="M55" s="189"/>
      <c r="N55" s="189"/>
      <c r="O55" s="189"/>
      <c r="P55" s="189"/>
      <c r="Q55" s="189" t="s">
        <v>297</v>
      </c>
      <c r="R55" s="189" t="s">
        <v>296</v>
      </c>
      <c r="S55" s="98"/>
      <c r="T55" s="10"/>
      <c r="U55" s="10"/>
      <c r="V55" s="10"/>
      <c r="AD55" s="311"/>
      <c r="AT55" s="26"/>
    </row>
    <row r="56" spans="1:46" ht="13.9" hidden="1" customHeight="1" x14ac:dyDescent="0.2">
      <c r="A56" s="312"/>
      <c r="B56" s="195">
        <v>175</v>
      </c>
      <c r="C56" s="61">
        <v>12</v>
      </c>
      <c r="D56" s="61">
        <v>12</v>
      </c>
      <c r="E56" s="3" t="s">
        <v>299</v>
      </c>
      <c r="F56" s="3" t="s">
        <v>298</v>
      </c>
      <c r="G56" s="199">
        <v>204</v>
      </c>
      <c r="H56" s="61">
        <v>12</v>
      </c>
      <c r="I56" s="61">
        <v>12</v>
      </c>
      <c r="J56" s="3" t="s">
        <v>295</v>
      </c>
      <c r="K56" s="192" t="s">
        <v>294</v>
      </c>
      <c r="L56" s="192"/>
      <c r="M56" s="189"/>
      <c r="N56" s="189"/>
      <c r="O56" s="189"/>
      <c r="P56" s="189"/>
      <c r="Q56" s="189" t="s">
        <v>293</v>
      </c>
      <c r="R56" s="189" t="s">
        <v>292</v>
      </c>
      <c r="S56" s="98"/>
      <c r="T56" s="10"/>
      <c r="U56" s="10"/>
      <c r="V56" s="10"/>
      <c r="AD56" s="311"/>
      <c r="AT56" s="26"/>
    </row>
    <row r="57" spans="1:46" ht="13.9" hidden="1" customHeight="1" x14ac:dyDescent="0.2">
      <c r="A57" s="312"/>
      <c r="B57" s="198">
        <v>204</v>
      </c>
      <c r="C57" s="61">
        <v>12</v>
      </c>
      <c r="D57" s="61">
        <v>12</v>
      </c>
      <c r="E57" s="3" t="s">
        <v>295</v>
      </c>
      <c r="F57" s="3" t="s">
        <v>294</v>
      </c>
      <c r="G57" s="61">
        <v>241</v>
      </c>
      <c r="H57" s="61">
        <v>12</v>
      </c>
      <c r="I57" s="61">
        <v>13</v>
      </c>
      <c r="J57" s="3" t="s">
        <v>291</v>
      </c>
      <c r="K57" s="192" t="s">
        <v>290</v>
      </c>
      <c r="L57" s="192"/>
      <c r="M57" s="189"/>
      <c r="N57" s="189"/>
      <c r="O57" s="189"/>
      <c r="P57" s="189"/>
      <c r="Q57" s="189" t="s">
        <v>289</v>
      </c>
      <c r="R57" s="189" t="s">
        <v>288</v>
      </c>
      <c r="S57" s="98"/>
      <c r="T57" s="10"/>
      <c r="U57" s="10"/>
      <c r="V57" s="10"/>
      <c r="AD57" s="311"/>
      <c r="AT57" s="26"/>
    </row>
    <row r="58" spans="1:46" ht="13.9" hidden="1" customHeight="1" x14ac:dyDescent="0.2">
      <c r="A58" s="312"/>
      <c r="B58" s="195">
        <v>241</v>
      </c>
      <c r="C58" s="61">
        <v>12</v>
      </c>
      <c r="D58" s="61">
        <v>13</v>
      </c>
      <c r="E58" s="3" t="s">
        <v>291</v>
      </c>
      <c r="F58" s="3" t="s">
        <v>290</v>
      </c>
      <c r="G58" s="61">
        <v>279</v>
      </c>
      <c r="H58" s="61">
        <v>12</v>
      </c>
      <c r="I58" s="61">
        <v>13</v>
      </c>
      <c r="J58" s="3" t="s">
        <v>287</v>
      </c>
      <c r="K58" s="192" t="s">
        <v>286</v>
      </c>
      <c r="L58" s="192"/>
      <c r="M58" s="189"/>
      <c r="N58" s="189"/>
      <c r="O58" s="189"/>
      <c r="P58" s="189"/>
      <c r="Q58" s="189" t="s">
        <v>285</v>
      </c>
      <c r="R58" s="189" t="s">
        <v>284</v>
      </c>
      <c r="S58" s="98"/>
      <c r="T58" s="10"/>
      <c r="U58" s="10"/>
      <c r="V58" s="10"/>
      <c r="AD58" s="311"/>
      <c r="AT58" s="26"/>
    </row>
    <row r="59" spans="1:46" ht="13.9" hidden="1" customHeight="1" x14ac:dyDescent="0.2">
      <c r="A59" s="37"/>
      <c r="B59" s="195">
        <v>279</v>
      </c>
      <c r="C59" s="61">
        <v>12</v>
      </c>
      <c r="D59" s="61">
        <v>13</v>
      </c>
      <c r="E59" s="3" t="s">
        <v>287</v>
      </c>
      <c r="F59" s="3" t="s">
        <v>286</v>
      </c>
      <c r="G59" s="61">
        <v>320</v>
      </c>
      <c r="H59" s="61">
        <v>13</v>
      </c>
      <c r="I59" s="61">
        <v>14</v>
      </c>
      <c r="J59" s="3" t="s">
        <v>283</v>
      </c>
      <c r="K59" s="192" t="s">
        <v>282</v>
      </c>
      <c r="L59" s="192"/>
      <c r="M59" s="189"/>
      <c r="N59" s="189"/>
      <c r="O59" s="189"/>
      <c r="P59" s="189"/>
      <c r="Q59" s="189" t="s">
        <v>281</v>
      </c>
      <c r="R59" s="189" t="s">
        <v>280</v>
      </c>
      <c r="S59" s="98"/>
      <c r="T59" s="10"/>
      <c r="U59" s="10"/>
      <c r="V59" s="10"/>
      <c r="AD59" s="311"/>
      <c r="AT59" s="26"/>
    </row>
    <row r="60" spans="1:46" ht="13.9" hidden="1" customHeight="1" x14ac:dyDescent="0.2">
      <c r="A60" s="26"/>
      <c r="B60" s="195">
        <v>320</v>
      </c>
      <c r="C60" s="61">
        <v>13</v>
      </c>
      <c r="D60" s="61">
        <v>14</v>
      </c>
      <c r="E60" s="3" t="s">
        <v>283</v>
      </c>
      <c r="F60" s="3" t="s">
        <v>282</v>
      </c>
      <c r="G60" s="61">
        <v>350</v>
      </c>
      <c r="H60" s="61">
        <v>13</v>
      </c>
      <c r="I60" s="61">
        <v>14</v>
      </c>
      <c r="J60" s="3" t="s">
        <v>279</v>
      </c>
      <c r="K60" s="192" t="s">
        <v>278</v>
      </c>
      <c r="L60" s="192"/>
      <c r="M60" s="189"/>
      <c r="N60" s="189"/>
      <c r="O60" s="189"/>
      <c r="P60" s="189"/>
      <c r="Q60" s="189" t="s">
        <v>277</v>
      </c>
      <c r="R60" s="189" t="s">
        <v>276</v>
      </c>
      <c r="S60" s="98"/>
      <c r="T60" s="10"/>
      <c r="U60" s="10"/>
      <c r="V60" s="10"/>
      <c r="AD60" s="311"/>
      <c r="AT60" s="26"/>
    </row>
    <row r="61" spans="1:46" ht="13.9" hidden="1" customHeight="1" x14ac:dyDescent="0.2">
      <c r="A61" s="26"/>
      <c r="B61" s="195">
        <v>350</v>
      </c>
      <c r="C61" s="61">
        <v>13</v>
      </c>
      <c r="D61" s="61">
        <v>14</v>
      </c>
      <c r="E61" s="3" t="s">
        <v>279</v>
      </c>
      <c r="F61" s="3" t="s">
        <v>278</v>
      </c>
      <c r="G61" s="61">
        <v>400</v>
      </c>
      <c r="H61" s="61">
        <v>13</v>
      </c>
      <c r="I61" s="61">
        <v>15</v>
      </c>
      <c r="J61" s="3" t="s">
        <v>275</v>
      </c>
      <c r="K61" s="192" t="s">
        <v>274</v>
      </c>
      <c r="L61" s="192"/>
      <c r="M61" s="189"/>
      <c r="N61" s="189"/>
      <c r="O61" s="189"/>
      <c r="P61" s="189"/>
      <c r="Q61" s="189" t="s">
        <v>273</v>
      </c>
      <c r="R61" s="189" t="s">
        <v>272</v>
      </c>
      <c r="S61" s="98"/>
      <c r="T61" s="10"/>
      <c r="U61" s="10"/>
      <c r="V61" s="10"/>
      <c r="AD61" s="311"/>
      <c r="AT61" s="26"/>
    </row>
    <row r="62" spans="1:46" ht="13.9" hidden="1" customHeight="1" x14ac:dyDescent="0.2">
      <c r="A62" s="26"/>
      <c r="B62" s="195">
        <v>400</v>
      </c>
      <c r="C62" s="61">
        <v>13</v>
      </c>
      <c r="D62" s="61">
        <v>15</v>
      </c>
      <c r="E62" s="3" t="s">
        <v>275</v>
      </c>
      <c r="F62" s="3" t="s">
        <v>274</v>
      </c>
      <c r="G62" s="61">
        <v>477</v>
      </c>
      <c r="H62" s="61">
        <v>14</v>
      </c>
      <c r="I62" s="61">
        <v>17</v>
      </c>
      <c r="J62" s="3" t="s">
        <v>271</v>
      </c>
      <c r="K62" s="192" t="s">
        <v>270</v>
      </c>
      <c r="L62" s="192"/>
      <c r="M62" s="189"/>
      <c r="N62" s="189"/>
      <c r="O62" s="189"/>
      <c r="P62" s="189"/>
      <c r="Q62" s="189" t="s">
        <v>269</v>
      </c>
      <c r="R62" s="189" t="s">
        <v>268</v>
      </c>
      <c r="S62" s="98"/>
      <c r="T62" s="10"/>
      <c r="U62" s="10"/>
      <c r="V62" s="10"/>
      <c r="AD62" s="311"/>
      <c r="AT62" s="26"/>
    </row>
    <row r="63" spans="1:46" ht="13.9" hidden="1" customHeight="1" x14ac:dyDescent="0.2">
      <c r="A63" s="26"/>
      <c r="B63" s="195">
        <v>477</v>
      </c>
      <c r="C63" s="61">
        <v>14</v>
      </c>
      <c r="D63" s="61">
        <v>17</v>
      </c>
      <c r="E63" s="3" t="s">
        <v>271</v>
      </c>
      <c r="F63" s="3" t="s">
        <v>270</v>
      </c>
      <c r="G63" s="61">
        <v>545</v>
      </c>
      <c r="H63" s="61">
        <v>14</v>
      </c>
      <c r="I63" s="61">
        <v>17</v>
      </c>
      <c r="J63" s="3" t="s">
        <v>267</v>
      </c>
      <c r="K63" s="192" t="s">
        <v>266</v>
      </c>
      <c r="L63" s="192"/>
      <c r="M63" s="189"/>
      <c r="N63" s="189"/>
      <c r="O63" s="189"/>
      <c r="P63" s="189"/>
      <c r="Q63" s="189" t="s">
        <v>265</v>
      </c>
      <c r="R63" s="189" t="s">
        <v>264</v>
      </c>
      <c r="S63" s="98"/>
      <c r="T63" s="10"/>
      <c r="U63" s="10"/>
      <c r="V63" s="10"/>
      <c r="AD63" s="311"/>
      <c r="AT63" s="26"/>
    </row>
    <row r="64" spans="1:46" ht="13.9" hidden="1" customHeight="1" x14ac:dyDescent="0.2">
      <c r="A64" s="26"/>
      <c r="B64" s="195">
        <v>545</v>
      </c>
      <c r="C64" s="61">
        <v>14</v>
      </c>
      <c r="D64" s="61">
        <v>17</v>
      </c>
      <c r="E64" s="3" t="s">
        <v>267</v>
      </c>
      <c r="F64" s="3" t="s">
        <v>266</v>
      </c>
      <c r="G64" s="61">
        <v>615</v>
      </c>
      <c r="H64" s="61">
        <v>14</v>
      </c>
      <c r="I64" s="61">
        <v>18</v>
      </c>
      <c r="J64" s="3" t="s">
        <v>263</v>
      </c>
      <c r="K64" s="192" t="s">
        <v>262</v>
      </c>
      <c r="L64" s="192"/>
      <c r="M64" s="189"/>
      <c r="N64" s="189"/>
      <c r="O64" s="189"/>
      <c r="P64" s="189"/>
      <c r="Q64" s="189" t="s">
        <v>261</v>
      </c>
      <c r="R64" s="189" t="s">
        <v>260</v>
      </c>
      <c r="S64" s="98"/>
      <c r="T64" s="10"/>
      <c r="U64" s="10"/>
      <c r="V64" s="10"/>
      <c r="AD64" s="311"/>
      <c r="AT64" s="26"/>
    </row>
    <row r="65" spans="1:46" ht="13.9" hidden="1" customHeight="1" x14ac:dyDescent="0.2">
      <c r="A65" s="26"/>
      <c r="B65" s="195">
        <v>615</v>
      </c>
      <c r="C65" s="61">
        <v>14</v>
      </c>
      <c r="D65" s="61">
        <v>18</v>
      </c>
      <c r="E65" s="3" t="s">
        <v>263</v>
      </c>
      <c r="F65" s="3" t="s">
        <v>262</v>
      </c>
      <c r="G65" s="61">
        <v>670</v>
      </c>
      <c r="H65" s="61">
        <v>14</v>
      </c>
      <c r="I65" s="61">
        <v>19</v>
      </c>
      <c r="J65" s="3" t="s">
        <v>259</v>
      </c>
      <c r="K65" s="192" t="s">
        <v>258</v>
      </c>
      <c r="L65" s="192"/>
      <c r="M65" s="189"/>
      <c r="N65" s="189"/>
      <c r="O65" s="189"/>
      <c r="P65" s="189"/>
      <c r="Q65" s="189" t="s">
        <v>257</v>
      </c>
      <c r="R65" s="189" t="s">
        <v>256</v>
      </c>
      <c r="S65" s="98"/>
      <c r="T65" s="10"/>
      <c r="U65" s="10"/>
      <c r="V65" s="10"/>
      <c r="AD65" s="311"/>
      <c r="AT65" s="26"/>
    </row>
    <row r="66" spans="1:46" ht="13.9" hidden="1" customHeight="1" x14ac:dyDescent="0.2">
      <c r="A66" s="26"/>
      <c r="B66" s="195">
        <v>670</v>
      </c>
      <c r="C66" s="61">
        <v>14</v>
      </c>
      <c r="D66" s="61">
        <v>19</v>
      </c>
      <c r="E66" s="3" t="s">
        <v>259</v>
      </c>
      <c r="F66" s="3" t="s">
        <v>258</v>
      </c>
      <c r="G66" s="61">
        <v>736</v>
      </c>
      <c r="H66" s="61">
        <v>14</v>
      </c>
      <c r="I66" s="61">
        <v>20</v>
      </c>
      <c r="J66" s="3" t="s">
        <v>255</v>
      </c>
      <c r="K66" s="192" t="s">
        <v>254</v>
      </c>
      <c r="L66" s="192"/>
      <c r="M66" s="189"/>
      <c r="N66" s="189"/>
      <c r="O66" s="189"/>
      <c r="P66" s="189"/>
      <c r="Q66" s="189" t="s">
        <v>253</v>
      </c>
      <c r="R66" s="189" t="s">
        <v>252</v>
      </c>
      <c r="S66" s="98"/>
      <c r="T66" s="10"/>
      <c r="U66" s="10"/>
      <c r="V66" s="10"/>
      <c r="AD66" s="311"/>
      <c r="AT66" s="26"/>
    </row>
    <row r="67" spans="1:46" ht="13.9" hidden="1" customHeight="1" x14ac:dyDescent="0.2">
      <c r="A67" s="26"/>
      <c r="B67" s="195">
        <v>736</v>
      </c>
      <c r="C67" s="61">
        <v>14</v>
      </c>
      <c r="D67" s="61">
        <v>20</v>
      </c>
      <c r="E67" s="3" t="s">
        <v>255</v>
      </c>
      <c r="F67" s="3" t="s">
        <v>254</v>
      </c>
      <c r="G67" s="61">
        <v>799</v>
      </c>
      <c r="H67" s="61">
        <v>16</v>
      </c>
      <c r="I67" s="61">
        <v>23</v>
      </c>
      <c r="J67" s="3" t="s">
        <v>251</v>
      </c>
      <c r="K67" s="192" t="s">
        <v>250</v>
      </c>
      <c r="L67" s="192"/>
      <c r="M67" s="189"/>
      <c r="N67" s="189"/>
      <c r="O67" s="189"/>
      <c r="P67" s="189"/>
      <c r="Q67" s="189" t="s">
        <v>249</v>
      </c>
      <c r="R67" s="189" t="s">
        <v>248</v>
      </c>
      <c r="S67" s="98"/>
      <c r="T67" s="10"/>
      <c r="U67" s="10"/>
      <c r="V67" s="10"/>
      <c r="AD67" s="311"/>
      <c r="AT67" s="26"/>
    </row>
    <row r="68" spans="1:46" ht="13.9" hidden="1" customHeight="1" x14ac:dyDescent="0.2">
      <c r="A68" s="26"/>
      <c r="B68" s="195">
        <v>799</v>
      </c>
      <c r="C68" s="61">
        <v>16</v>
      </c>
      <c r="D68" s="61">
        <v>23</v>
      </c>
      <c r="E68" s="3" t="s">
        <v>251</v>
      </c>
      <c r="F68" s="3" t="s">
        <v>250</v>
      </c>
      <c r="G68" s="61">
        <v>870</v>
      </c>
      <c r="H68" s="61">
        <v>19</v>
      </c>
      <c r="I68" s="61">
        <v>27</v>
      </c>
      <c r="J68" s="3" t="s">
        <v>247</v>
      </c>
      <c r="K68" s="192" t="s">
        <v>246</v>
      </c>
      <c r="L68" s="192"/>
      <c r="M68" s="189"/>
      <c r="N68" s="189"/>
      <c r="O68" s="189"/>
      <c r="P68" s="189"/>
      <c r="Q68" s="189" t="s">
        <v>245</v>
      </c>
      <c r="R68" s="189" t="s">
        <v>244</v>
      </c>
      <c r="S68" s="98"/>
      <c r="T68" s="10"/>
      <c r="U68" s="10"/>
      <c r="V68" s="10"/>
      <c r="AD68" s="311"/>
      <c r="AT68" s="26"/>
    </row>
    <row r="69" spans="1:46" ht="13.9" hidden="1" customHeight="1" x14ac:dyDescent="0.2">
      <c r="A69" s="26"/>
      <c r="B69" s="195">
        <v>870</v>
      </c>
      <c r="C69" s="61">
        <v>19</v>
      </c>
      <c r="D69" s="61">
        <v>27</v>
      </c>
      <c r="E69" s="3" t="s">
        <v>247</v>
      </c>
      <c r="F69" s="3" t="s">
        <v>246</v>
      </c>
      <c r="G69" s="61">
        <v>936</v>
      </c>
      <c r="H69" s="61">
        <v>21</v>
      </c>
      <c r="I69" s="61">
        <v>31</v>
      </c>
      <c r="J69" s="3" t="s">
        <v>243</v>
      </c>
      <c r="K69" s="192" t="s">
        <v>242</v>
      </c>
      <c r="L69" s="192"/>
      <c r="M69" s="189"/>
      <c r="N69" s="189"/>
      <c r="O69" s="189"/>
      <c r="P69" s="189"/>
      <c r="Q69" s="189" t="s">
        <v>241</v>
      </c>
      <c r="R69" s="189" t="s">
        <v>240</v>
      </c>
      <c r="S69" s="98"/>
      <c r="T69" s="10"/>
      <c r="U69" s="10"/>
      <c r="V69" s="10"/>
      <c r="AD69" s="311"/>
      <c r="AT69" s="26"/>
    </row>
    <row r="70" spans="1:46" ht="13.9" hidden="1" customHeight="1" x14ac:dyDescent="0.2">
      <c r="A70" s="26"/>
      <c r="B70" s="195">
        <v>936</v>
      </c>
      <c r="C70" s="61">
        <v>21</v>
      </c>
      <c r="D70" s="61">
        <v>31</v>
      </c>
      <c r="E70" s="3" t="s">
        <v>243</v>
      </c>
      <c r="F70" s="3" t="s">
        <v>242</v>
      </c>
      <c r="G70" s="61">
        <v>1020</v>
      </c>
      <c r="H70" s="61">
        <v>22</v>
      </c>
      <c r="I70" s="61">
        <v>34</v>
      </c>
      <c r="J70" s="3" t="s">
        <v>239</v>
      </c>
      <c r="K70" s="192" t="s">
        <v>238</v>
      </c>
      <c r="L70" s="192"/>
      <c r="M70" s="189"/>
      <c r="N70" s="189"/>
      <c r="O70" s="189"/>
      <c r="P70" s="189"/>
      <c r="Q70" s="189" t="s">
        <v>237</v>
      </c>
      <c r="R70" s="189" t="s">
        <v>236</v>
      </c>
      <c r="S70" s="98"/>
      <c r="T70" s="10"/>
      <c r="U70" s="10"/>
      <c r="V70" s="10"/>
      <c r="AD70" s="311"/>
      <c r="AT70" s="26"/>
    </row>
    <row r="71" spans="1:46" ht="13.9" hidden="1" customHeight="1" x14ac:dyDescent="0.2">
      <c r="A71" s="26"/>
      <c r="B71" s="195">
        <v>1020</v>
      </c>
      <c r="C71" s="61">
        <v>22</v>
      </c>
      <c r="D71" s="61">
        <v>34</v>
      </c>
      <c r="E71" s="3" t="s">
        <v>239</v>
      </c>
      <c r="F71" s="3" t="s">
        <v>238</v>
      </c>
      <c r="G71" s="61">
        <v>1081</v>
      </c>
      <c r="H71" s="61">
        <v>22</v>
      </c>
      <c r="I71" s="61">
        <v>35</v>
      </c>
      <c r="J71" s="3" t="s">
        <v>235</v>
      </c>
      <c r="K71" s="192" t="s">
        <v>234</v>
      </c>
      <c r="L71" s="192"/>
      <c r="M71" s="189"/>
      <c r="N71" s="189"/>
      <c r="O71" s="189"/>
      <c r="P71" s="189"/>
      <c r="Q71" s="189" t="s">
        <v>233</v>
      </c>
      <c r="R71" s="189" t="s">
        <v>232</v>
      </c>
      <c r="S71" s="98"/>
      <c r="T71" s="10"/>
      <c r="U71" s="10"/>
      <c r="V71" s="10"/>
      <c r="AD71" s="311"/>
      <c r="AT71" s="26"/>
    </row>
    <row r="72" spans="1:46" ht="13.9" hidden="1" customHeight="1" x14ac:dyDescent="0.2">
      <c r="A72" s="26"/>
      <c r="B72" s="195">
        <v>1081</v>
      </c>
      <c r="C72" s="61">
        <v>22</v>
      </c>
      <c r="D72" s="61">
        <v>35</v>
      </c>
      <c r="E72" s="3" t="s">
        <v>235</v>
      </c>
      <c r="F72" s="3" t="s">
        <v>234</v>
      </c>
      <c r="G72" s="61">
        <v>1195</v>
      </c>
      <c r="H72" s="61">
        <v>22</v>
      </c>
      <c r="I72" s="61">
        <v>38</v>
      </c>
      <c r="J72" s="3" t="s">
        <v>231</v>
      </c>
      <c r="K72" s="192" t="s">
        <v>230</v>
      </c>
      <c r="L72" s="192"/>
      <c r="M72" s="189"/>
      <c r="N72" s="189"/>
      <c r="O72" s="189"/>
      <c r="P72" s="189"/>
      <c r="Q72" s="189" t="s">
        <v>229</v>
      </c>
      <c r="R72" s="189" t="s">
        <v>228</v>
      </c>
      <c r="S72" s="98"/>
      <c r="T72" s="10"/>
      <c r="U72" s="10"/>
      <c r="V72" s="10"/>
      <c r="AD72" s="311"/>
      <c r="AT72" s="26"/>
    </row>
    <row r="73" spans="1:46" ht="13.9" hidden="1" customHeight="1" x14ac:dyDescent="0.2">
      <c r="A73" s="26"/>
      <c r="B73" s="195">
        <v>1195</v>
      </c>
      <c r="C73" s="61">
        <v>22</v>
      </c>
      <c r="D73" s="61">
        <v>38</v>
      </c>
      <c r="E73" s="3" t="s">
        <v>231</v>
      </c>
      <c r="F73" s="3" t="s">
        <v>230</v>
      </c>
      <c r="G73" s="61">
        <v>1335</v>
      </c>
      <c r="H73" s="61">
        <v>23</v>
      </c>
      <c r="I73" s="61">
        <v>43</v>
      </c>
      <c r="J73" s="3" t="s">
        <v>227</v>
      </c>
      <c r="K73" s="192" t="s">
        <v>226</v>
      </c>
      <c r="L73" s="192"/>
      <c r="M73" s="189"/>
      <c r="N73" s="189"/>
      <c r="O73" s="189"/>
      <c r="P73" s="189"/>
      <c r="Q73" s="189" t="s">
        <v>225</v>
      </c>
      <c r="R73" s="189" t="s">
        <v>224</v>
      </c>
      <c r="S73" s="98"/>
      <c r="T73" s="10"/>
      <c r="U73" s="10"/>
      <c r="V73" s="10"/>
      <c r="AD73" s="311"/>
      <c r="AT73" s="26"/>
    </row>
    <row r="74" spans="1:46" ht="13.9" hidden="1" customHeight="1" x14ac:dyDescent="0.2">
      <c r="A74" s="26"/>
      <c r="B74" s="195">
        <v>1335</v>
      </c>
      <c r="C74" s="61">
        <v>23</v>
      </c>
      <c r="D74" s="61">
        <v>43</v>
      </c>
      <c r="E74" s="3" t="s">
        <v>227</v>
      </c>
      <c r="F74" s="3" t="s">
        <v>226</v>
      </c>
      <c r="G74" s="61">
        <v>1483</v>
      </c>
      <c r="H74" s="61">
        <v>23</v>
      </c>
      <c r="I74" s="61">
        <v>47</v>
      </c>
      <c r="J74" s="3" t="s">
        <v>223</v>
      </c>
      <c r="K74" s="192" t="s">
        <v>222</v>
      </c>
      <c r="L74" s="192"/>
      <c r="M74" s="189"/>
      <c r="N74" s="189"/>
      <c r="O74" s="189"/>
      <c r="P74" s="189"/>
      <c r="Q74" s="189" t="s">
        <v>221</v>
      </c>
      <c r="R74" s="189" t="s">
        <v>220</v>
      </c>
      <c r="S74" s="98"/>
      <c r="T74" s="10"/>
      <c r="U74" s="10"/>
      <c r="V74" s="10"/>
      <c r="AD74" s="311"/>
      <c r="AT74" s="26"/>
    </row>
    <row r="75" spans="1:46" ht="13.9" hidden="1" customHeight="1" x14ac:dyDescent="0.2">
      <c r="A75" s="26"/>
      <c r="B75" s="195">
        <v>1483</v>
      </c>
      <c r="C75" s="61">
        <v>23</v>
      </c>
      <c r="D75" s="61">
        <v>47</v>
      </c>
      <c r="E75" s="3" t="s">
        <v>223</v>
      </c>
      <c r="F75" s="3" t="s">
        <v>222</v>
      </c>
      <c r="G75" s="61">
        <v>1581</v>
      </c>
      <c r="H75" s="61">
        <v>23</v>
      </c>
      <c r="I75" s="61">
        <v>51</v>
      </c>
      <c r="J75" s="3" t="s">
        <v>219</v>
      </c>
      <c r="K75" s="192" t="s">
        <v>218</v>
      </c>
      <c r="L75" s="192"/>
      <c r="M75" s="189"/>
      <c r="N75" s="189"/>
      <c r="O75" s="189"/>
      <c r="P75" s="189"/>
      <c r="Q75" s="189" t="s">
        <v>217</v>
      </c>
      <c r="R75" s="189" t="s">
        <v>216</v>
      </c>
      <c r="S75" s="98"/>
      <c r="T75" s="10"/>
      <c r="U75" s="10"/>
      <c r="V75" s="10"/>
      <c r="AD75" s="311"/>
      <c r="AT75" s="26"/>
    </row>
    <row r="76" spans="1:46" ht="13.9" hidden="1" customHeight="1" x14ac:dyDescent="0.2">
      <c r="A76" s="26"/>
      <c r="B76" s="195">
        <v>1581</v>
      </c>
      <c r="C76" s="61">
        <v>23</v>
      </c>
      <c r="D76" s="61">
        <v>51</v>
      </c>
      <c r="E76" s="3" t="s">
        <v>219</v>
      </c>
      <c r="F76" s="3" t="s">
        <v>218</v>
      </c>
      <c r="G76" s="61">
        <v>1774</v>
      </c>
      <c r="H76" s="61">
        <v>24</v>
      </c>
      <c r="I76" s="61">
        <v>59</v>
      </c>
      <c r="J76" s="3" t="s">
        <v>215</v>
      </c>
      <c r="K76" s="192" t="s">
        <v>214</v>
      </c>
      <c r="L76" s="192"/>
      <c r="M76" s="189"/>
      <c r="N76" s="189"/>
      <c r="O76" s="189"/>
      <c r="P76" s="189"/>
      <c r="Q76" s="189" t="s">
        <v>213</v>
      </c>
      <c r="R76" s="189" t="s">
        <v>212</v>
      </c>
      <c r="S76" s="98"/>
      <c r="T76" s="10"/>
      <c r="U76" s="10"/>
      <c r="V76" s="10"/>
      <c r="AD76" s="311"/>
      <c r="AT76" s="26"/>
    </row>
    <row r="77" spans="1:46" ht="13.9" hidden="1" customHeight="1" x14ac:dyDescent="0.2">
      <c r="A77" s="26"/>
      <c r="B77" s="195">
        <v>1774</v>
      </c>
      <c r="C77" s="61">
        <v>24</v>
      </c>
      <c r="D77" s="61">
        <v>59</v>
      </c>
      <c r="E77" s="3" t="s">
        <v>215</v>
      </c>
      <c r="F77" s="3" t="s">
        <v>214</v>
      </c>
      <c r="G77" s="61">
        <v>1883</v>
      </c>
      <c r="H77" s="61">
        <v>24</v>
      </c>
      <c r="I77" s="61">
        <v>61</v>
      </c>
      <c r="J77" s="3" t="s">
        <v>211</v>
      </c>
      <c r="K77" s="192" t="s">
        <v>210</v>
      </c>
      <c r="L77" s="192"/>
      <c r="M77" s="189"/>
      <c r="N77" s="189"/>
      <c r="O77" s="189"/>
      <c r="P77" s="189"/>
      <c r="Q77" s="189" t="s">
        <v>209</v>
      </c>
      <c r="R77" s="189" t="s">
        <v>208</v>
      </c>
      <c r="S77" s="98"/>
      <c r="T77" s="10"/>
      <c r="U77" s="10"/>
      <c r="V77" s="10"/>
      <c r="AD77" s="311"/>
      <c r="AT77" s="26"/>
    </row>
    <row r="78" spans="1:46" ht="13.9" hidden="1" customHeight="1" x14ac:dyDescent="0.2">
      <c r="A78" s="26"/>
      <c r="B78" s="195">
        <v>1883</v>
      </c>
      <c r="C78" s="61">
        <v>24</v>
      </c>
      <c r="D78" s="61">
        <v>61</v>
      </c>
      <c r="E78" s="3" t="s">
        <v>211</v>
      </c>
      <c r="F78" s="3" t="s">
        <v>210</v>
      </c>
      <c r="G78" s="61">
        <v>2080</v>
      </c>
      <c r="H78" s="61">
        <v>25</v>
      </c>
      <c r="I78" s="61">
        <v>73</v>
      </c>
      <c r="J78" s="3" t="s">
        <v>207</v>
      </c>
      <c r="K78" s="192" t="s">
        <v>206</v>
      </c>
      <c r="L78" s="192"/>
      <c r="M78" s="189"/>
      <c r="N78" s="189"/>
      <c r="O78" s="189"/>
      <c r="P78" s="189"/>
      <c r="Q78" s="189" t="s">
        <v>205</v>
      </c>
      <c r="R78" s="189" t="s">
        <v>204</v>
      </c>
      <c r="S78" s="98"/>
      <c r="T78" s="10"/>
      <c r="U78" s="10"/>
      <c r="V78" s="10"/>
      <c r="AD78" s="311"/>
      <c r="AT78" s="26"/>
    </row>
    <row r="79" spans="1:46" ht="13.9" hidden="1" customHeight="1" x14ac:dyDescent="0.2">
      <c r="A79" s="26"/>
      <c r="B79" s="195">
        <v>2080</v>
      </c>
      <c r="C79" s="61">
        <v>25</v>
      </c>
      <c r="D79" s="61">
        <v>73</v>
      </c>
      <c r="E79" s="3" t="s">
        <v>207</v>
      </c>
      <c r="F79" s="3" t="s">
        <v>206</v>
      </c>
      <c r="G79" s="61">
        <v>2251</v>
      </c>
      <c r="H79" s="61">
        <v>26</v>
      </c>
      <c r="I79" s="61">
        <v>82</v>
      </c>
      <c r="J79" s="3" t="s">
        <v>203</v>
      </c>
      <c r="K79" s="192" t="s">
        <v>202</v>
      </c>
      <c r="L79" s="192"/>
      <c r="M79" s="189"/>
      <c r="N79" s="189"/>
      <c r="O79" s="189"/>
      <c r="P79" s="189"/>
      <c r="Q79" s="189" t="s">
        <v>201</v>
      </c>
      <c r="R79" s="189" t="s">
        <v>200</v>
      </c>
      <c r="S79" s="98"/>
      <c r="T79" s="10"/>
      <c r="U79" s="10"/>
      <c r="V79" s="10"/>
      <c r="AD79" s="311"/>
      <c r="AT79" s="26"/>
    </row>
    <row r="80" spans="1:46" ht="13.9" hidden="1" customHeight="1" x14ac:dyDescent="0.2">
      <c r="A80" s="26"/>
      <c r="B80" s="195">
        <v>2251</v>
      </c>
      <c r="C80" s="61">
        <v>26</v>
      </c>
      <c r="D80" s="61">
        <v>82</v>
      </c>
      <c r="E80" s="3" t="s">
        <v>203</v>
      </c>
      <c r="F80" s="3" t="s">
        <v>202</v>
      </c>
      <c r="G80" s="61">
        <v>2319</v>
      </c>
      <c r="H80" s="61">
        <v>27</v>
      </c>
      <c r="I80" s="61">
        <v>87</v>
      </c>
      <c r="J80" s="3" t="s">
        <v>199</v>
      </c>
      <c r="K80" s="192" t="s">
        <v>198</v>
      </c>
      <c r="L80" s="192"/>
      <c r="M80" s="189"/>
      <c r="N80" s="189"/>
      <c r="O80" s="189"/>
      <c r="P80" s="189"/>
      <c r="Q80" s="189" t="s">
        <v>197</v>
      </c>
      <c r="R80" s="189" t="s">
        <v>196</v>
      </c>
      <c r="S80" s="98"/>
      <c r="T80" s="10"/>
      <c r="U80" s="10"/>
      <c r="V80" s="10"/>
      <c r="AD80" s="311"/>
      <c r="AT80" s="26"/>
    </row>
    <row r="81" spans="1:46" ht="13.9" hidden="1" customHeight="1" thickBot="1" x14ac:dyDescent="0.25">
      <c r="A81" s="26"/>
      <c r="B81" s="195">
        <v>2319</v>
      </c>
      <c r="C81" s="61">
        <v>27</v>
      </c>
      <c r="D81" s="61">
        <v>87</v>
      </c>
      <c r="E81" s="3" t="s">
        <v>199</v>
      </c>
      <c r="F81" s="3" t="s">
        <v>198</v>
      </c>
      <c r="G81" s="61">
        <v>2448</v>
      </c>
      <c r="H81" s="61">
        <v>28</v>
      </c>
      <c r="I81" s="310">
        <v>95</v>
      </c>
      <c r="J81" s="3" t="s">
        <v>195</v>
      </c>
      <c r="K81" s="192" t="s">
        <v>194</v>
      </c>
      <c r="L81" s="192"/>
      <c r="M81" s="189"/>
      <c r="N81" s="189"/>
      <c r="O81" s="189"/>
      <c r="P81" s="189"/>
      <c r="Q81" s="189" t="s">
        <v>193</v>
      </c>
      <c r="R81" s="189" t="s">
        <v>192</v>
      </c>
      <c r="S81" s="98"/>
      <c r="T81" s="10"/>
      <c r="U81" s="10"/>
      <c r="V81" s="10"/>
      <c r="AT81" s="26"/>
    </row>
    <row r="82" spans="1:46" ht="13.9" hidden="1" customHeight="1" thickTop="1" thickBot="1" x14ac:dyDescent="0.25">
      <c r="A82" s="26"/>
      <c r="B82" s="194">
        <v>2448</v>
      </c>
      <c r="C82" s="89">
        <v>28</v>
      </c>
      <c r="D82" s="310">
        <v>95</v>
      </c>
      <c r="E82" s="193" t="s">
        <v>195</v>
      </c>
      <c r="F82" s="193" t="s">
        <v>194</v>
      </c>
      <c r="G82" s="61">
        <v>2448</v>
      </c>
      <c r="H82" s="61">
        <v>28</v>
      </c>
      <c r="I82" s="310">
        <v>95</v>
      </c>
      <c r="J82" s="3" t="s">
        <v>195</v>
      </c>
      <c r="K82" s="192" t="s">
        <v>194</v>
      </c>
      <c r="L82" s="192"/>
      <c r="M82" s="189"/>
      <c r="N82" s="189"/>
      <c r="O82" s="189"/>
      <c r="P82" s="189"/>
      <c r="Q82" s="189" t="s">
        <v>191</v>
      </c>
      <c r="R82" s="189" t="s">
        <v>190</v>
      </c>
      <c r="S82" s="98"/>
      <c r="T82" s="10"/>
      <c r="U82" s="10"/>
      <c r="V82" s="10"/>
      <c r="AT82" s="26"/>
    </row>
    <row r="83" spans="1:46" ht="13.9" hidden="1" customHeight="1" x14ac:dyDescent="0.2">
      <c r="A83" s="26"/>
      <c r="B83" s="10"/>
      <c r="C83" s="10"/>
      <c r="D83" s="10"/>
      <c r="E83" s="10"/>
      <c r="F83" s="10"/>
      <c r="G83" s="10"/>
      <c r="H83" s="10"/>
      <c r="I83" s="10"/>
      <c r="J83" s="191"/>
      <c r="K83" s="189"/>
      <c r="L83" s="189"/>
      <c r="M83" s="189"/>
      <c r="N83" s="189"/>
      <c r="O83" s="189"/>
      <c r="P83" s="189"/>
      <c r="Q83" s="189" t="s">
        <v>189</v>
      </c>
      <c r="R83" s="189" t="s">
        <v>188</v>
      </c>
      <c r="S83" s="98"/>
      <c r="T83" s="10"/>
      <c r="U83" s="10"/>
      <c r="V83" s="10"/>
      <c r="AT83" s="26"/>
    </row>
    <row r="84" spans="1:46" ht="13.9" hidden="1" customHeight="1" x14ac:dyDescent="0.2">
      <c r="A84" s="26"/>
      <c r="B84" s="10"/>
      <c r="C84" s="10"/>
      <c r="D84" s="10"/>
      <c r="E84" s="10"/>
      <c r="F84" s="10"/>
      <c r="G84" s="10"/>
      <c r="H84" s="10"/>
      <c r="I84" s="10"/>
      <c r="J84" s="191"/>
      <c r="K84" s="189"/>
      <c r="L84" s="189"/>
      <c r="M84" s="189"/>
      <c r="N84" s="189"/>
      <c r="O84" s="189"/>
      <c r="P84" s="189"/>
      <c r="Q84" s="189" t="s">
        <v>187</v>
      </c>
      <c r="R84" s="189" t="s">
        <v>186</v>
      </c>
      <c r="S84" s="98"/>
      <c r="T84" s="10"/>
      <c r="U84" s="10"/>
      <c r="V84" s="10"/>
      <c r="AT84" s="26"/>
    </row>
    <row r="85" spans="1:46" ht="13.9" hidden="1" customHeight="1" x14ac:dyDescent="0.2">
      <c r="A85" s="26"/>
      <c r="B85" s="10"/>
      <c r="C85" s="10"/>
      <c r="D85" s="10"/>
      <c r="E85" s="10"/>
      <c r="F85" s="10"/>
      <c r="G85" s="10"/>
      <c r="H85" s="10"/>
      <c r="I85" s="10"/>
      <c r="J85" s="191"/>
      <c r="K85" s="189"/>
      <c r="L85" s="189"/>
      <c r="M85" s="189"/>
      <c r="N85" s="189"/>
      <c r="O85" s="189"/>
      <c r="P85" s="189"/>
      <c r="Q85" s="189" t="s">
        <v>185</v>
      </c>
      <c r="R85" s="189" t="s">
        <v>184</v>
      </c>
      <c r="S85" s="98"/>
      <c r="T85" s="10"/>
      <c r="U85" s="10"/>
      <c r="V85" s="10"/>
      <c r="AT85" s="26"/>
    </row>
    <row r="86" spans="1:46" ht="13.9" hidden="1" customHeight="1" x14ac:dyDescent="0.2">
      <c r="A86" s="26"/>
      <c r="B86" s="10"/>
      <c r="C86" s="10"/>
      <c r="D86" s="10"/>
      <c r="E86" s="10"/>
      <c r="F86" s="10"/>
      <c r="G86" s="10"/>
      <c r="H86" s="10"/>
      <c r="I86" s="10"/>
      <c r="J86" s="191"/>
      <c r="K86" s="189"/>
      <c r="L86" s="189"/>
      <c r="M86" s="189"/>
      <c r="N86" s="189"/>
      <c r="O86" s="189"/>
      <c r="P86" s="189"/>
      <c r="Q86" s="189" t="s">
        <v>183</v>
      </c>
      <c r="R86" s="189" t="s">
        <v>182</v>
      </c>
      <c r="S86" s="98"/>
      <c r="T86" s="10"/>
      <c r="U86" s="10"/>
      <c r="V86" s="10"/>
      <c r="AT86" s="26"/>
    </row>
    <row r="87" spans="1:46" ht="13.9" hidden="1" customHeight="1" thickBot="1" x14ac:dyDescent="0.25">
      <c r="A87" s="26"/>
      <c r="B87" s="10"/>
      <c r="C87" s="10"/>
      <c r="D87" s="10"/>
      <c r="E87" s="10"/>
      <c r="F87" s="10"/>
      <c r="G87" s="10"/>
      <c r="H87" s="10"/>
      <c r="I87" s="10"/>
      <c r="J87" s="191"/>
      <c r="K87" s="189"/>
      <c r="L87" s="189"/>
      <c r="M87" s="189"/>
      <c r="N87" s="189"/>
      <c r="O87" s="189"/>
      <c r="P87" s="189"/>
      <c r="Q87" s="188" t="s">
        <v>181</v>
      </c>
      <c r="R87" s="188" t="s">
        <v>180</v>
      </c>
      <c r="S87" s="98"/>
      <c r="T87" s="10"/>
      <c r="U87" s="10"/>
      <c r="V87" s="10"/>
      <c r="AT87" s="26"/>
    </row>
    <row r="88" spans="1:46" ht="13.9" hidden="1" customHeight="1" thickBot="1" x14ac:dyDescent="0.25">
      <c r="A88" s="26"/>
      <c r="B88" s="10"/>
      <c r="C88" s="10"/>
      <c r="D88" s="10"/>
      <c r="E88" s="10"/>
      <c r="F88" s="10"/>
      <c r="G88" s="10"/>
      <c r="H88" s="10"/>
      <c r="I88" s="10"/>
      <c r="J88" s="190"/>
      <c r="K88" s="188"/>
      <c r="L88" s="188"/>
      <c r="M88" s="188"/>
      <c r="N88" s="188"/>
      <c r="O88" s="189"/>
      <c r="P88" s="189"/>
      <c r="Q88" s="188" t="s">
        <v>181</v>
      </c>
      <c r="R88" s="188" t="s">
        <v>180</v>
      </c>
      <c r="S88" s="98"/>
      <c r="T88" s="10"/>
      <c r="U88" s="10"/>
      <c r="V88" s="10"/>
      <c r="AT88" s="26"/>
    </row>
    <row r="89" spans="1:46" ht="13.9" hidden="1" customHeight="1" thickBot="1" x14ac:dyDescent="0.25">
      <c r="A89" s="26"/>
      <c r="B89" s="37"/>
      <c r="C89" s="10"/>
      <c r="D89" s="75"/>
      <c r="E89" s="75"/>
      <c r="F89" s="187"/>
      <c r="G89" s="186"/>
      <c r="H89" s="75"/>
      <c r="I89" s="98"/>
      <c r="J89" s="98"/>
      <c r="K89" s="98"/>
      <c r="L89" s="98"/>
      <c r="M89" s="98"/>
      <c r="N89" s="10"/>
      <c r="O89" s="10"/>
      <c r="P89" s="10"/>
      <c r="Q89" s="98"/>
      <c r="R89" s="98"/>
      <c r="S89" s="98"/>
      <c r="T89" s="10"/>
      <c r="U89" s="10"/>
      <c r="V89" s="10"/>
      <c r="AT89" s="26"/>
    </row>
    <row r="90" spans="1:46" ht="13.9" hidden="1" customHeight="1" x14ac:dyDescent="0.2">
      <c r="A90" s="26"/>
      <c r="B90" s="37"/>
      <c r="C90" s="786"/>
      <c r="D90" s="787"/>
      <c r="E90" s="787"/>
      <c r="F90" s="799"/>
      <c r="G90" s="27"/>
      <c r="H90" s="786"/>
      <c r="I90" s="787"/>
      <c r="J90" s="787"/>
      <c r="K90" s="799"/>
      <c r="L90" s="21"/>
      <c r="M90" s="10"/>
      <c r="N90" s="10"/>
      <c r="O90" s="10"/>
      <c r="P90" s="10"/>
      <c r="Q90" s="98"/>
      <c r="R90" s="98"/>
      <c r="S90" s="98"/>
      <c r="T90" s="10"/>
      <c r="U90" s="10"/>
      <c r="V90" s="10"/>
      <c r="AT90" s="26"/>
    </row>
    <row r="91" spans="1:46" ht="13.9" hidden="1" customHeight="1" x14ac:dyDescent="0.2">
      <c r="A91" s="26"/>
      <c r="B91" s="26"/>
      <c r="C91" s="183"/>
      <c r="D91" s="182"/>
      <c r="E91" s="794"/>
      <c r="F91" s="795"/>
      <c r="G91" s="98"/>
      <c r="H91" s="183"/>
      <c r="I91" s="182"/>
      <c r="J91" s="794"/>
      <c r="K91" s="795"/>
      <c r="L91" s="309"/>
      <c r="M91" s="10"/>
      <c r="N91" s="10"/>
      <c r="O91" s="10"/>
      <c r="P91" s="10"/>
      <c r="Q91" s="98"/>
      <c r="R91" s="98"/>
      <c r="S91" s="98"/>
      <c r="T91" s="10"/>
      <c r="U91" s="10"/>
      <c r="V91" s="10"/>
      <c r="AT91" s="26"/>
    </row>
    <row r="92" spans="1:46" ht="13.9" hidden="1" customHeight="1" x14ac:dyDescent="0.2">
      <c r="A92" s="26"/>
      <c r="B92" s="180"/>
      <c r="C92" s="179"/>
      <c r="D92" s="103"/>
      <c r="E92" s="142"/>
      <c r="F92" s="178"/>
      <c r="G92" s="10"/>
      <c r="H92" s="179"/>
      <c r="I92" s="103"/>
      <c r="J92" s="142"/>
      <c r="K92" s="178"/>
      <c r="L92" s="308"/>
      <c r="M92" s="10"/>
      <c r="N92" s="10"/>
      <c r="O92" s="10"/>
      <c r="P92" s="10"/>
      <c r="Q92" s="98"/>
      <c r="R92" s="98"/>
      <c r="S92" s="98"/>
      <c r="T92" s="10"/>
      <c r="U92" s="10"/>
      <c r="V92" s="10"/>
      <c r="AT92" s="26"/>
    </row>
    <row r="93" spans="1:46" ht="13.9" hidden="1" customHeight="1" x14ac:dyDescent="0.2">
      <c r="A93" s="306"/>
      <c r="B93" s="37"/>
      <c r="C93" s="177"/>
      <c r="D93" s="176"/>
      <c r="E93" s="175"/>
      <c r="F93" s="174"/>
      <c r="G93" s="172"/>
      <c r="H93" s="177"/>
      <c r="I93" s="176"/>
      <c r="J93" s="175"/>
      <c r="K93" s="174"/>
      <c r="L93" s="307"/>
      <c r="M93" s="10"/>
      <c r="N93" s="10"/>
      <c r="O93" s="10"/>
      <c r="P93" s="10"/>
      <c r="Q93" s="98"/>
      <c r="R93" s="98"/>
      <c r="S93" s="98"/>
      <c r="T93" s="10"/>
      <c r="U93" s="10"/>
      <c r="V93" s="10"/>
      <c r="AT93" s="26"/>
    </row>
    <row r="94" spans="1:46" ht="13.9" hidden="1" customHeight="1" thickBot="1" x14ac:dyDescent="0.25">
      <c r="A94" s="306"/>
      <c r="B94" s="37"/>
      <c r="C94" s="173"/>
      <c r="D94" s="170"/>
      <c r="E94" s="169"/>
      <c r="F94" s="168"/>
      <c r="G94" s="172"/>
      <c r="H94" s="171"/>
      <c r="I94" s="170"/>
      <c r="J94" s="169"/>
      <c r="K94" s="168"/>
      <c r="L94" s="307"/>
      <c r="M94" s="10"/>
      <c r="N94" s="10"/>
      <c r="O94" s="10"/>
      <c r="P94" s="10"/>
      <c r="Q94" s="98"/>
      <c r="R94" s="98"/>
      <c r="S94" s="98"/>
      <c r="T94" s="10"/>
      <c r="U94" s="10"/>
      <c r="V94" s="10"/>
      <c r="AT94" s="26"/>
    </row>
    <row r="95" spans="1:46" ht="13.9" hidden="1" customHeight="1" x14ac:dyDescent="0.2">
      <c r="A95" s="306"/>
      <c r="B95" s="27"/>
      <c r="C95" s="165"/>
      <c r="D95" s="165"/>
      <c r="E95" s="165"/>
      <c r="F95" s="167"/>
      <c r="G95" s="172"/>
      <c r="H95" s="165"/>
      <c r="I95" s="98"/>
      <c r="J95" s="98"/>
      <c r="K95" s="98"/>
      <c r="L95" s="98"/>
      <c r="M95" s="10"/>
      <c r="N95" s="10"/>
      <c r="O95" s="10"/>
      <c r="P95" s="10"/>
      <c r="Q95" s="10"/>
      <c r="R95" s="10"/>
      <c r="S95" s="10"/>
      <c r="T95" s="10"/>
      <c r="U95" s="10"/>
      <c r="V95" s="10"/>
      <c r="AT95" s="26"/>
    </row>
    <row r="96" spans="1:46" ht="13.9" hidden="1" customHeight="1" x14ac:dyDescent="0.2">
      <c r="A96" s="306"/>
      <c r="B96" s="162"/>
      <c r="C96" s="162"/>
      <c r="D96" s="10"/>
      <c r="E96" s="10"/>
      <c r="F96" s="162"/>
      <c r="G96" s="162"/>
      <c r="H96" s="162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AT96" s="26"/>
    </row>
    <row r="97" spans="1:46" ht="13.9" hidden="1" customHeight="1" x14ac:dyDescent="0.2">
      <c r="A97" s="306"/>
      <c r="B97" s="162"/>
      <c r="C97" s="162"/>
      <c r="D97" s="161"/>
      <c r="E97" s="161"/>
      <c r="F97" s="162"/>
      <c r="G97" s="162"/>
      <c r="H97" s="162"/>
      <c r="I97" s="161"/>
      <c r="J97" s="161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AT97" s="26"/>
    </row>
    <row r="98" spans="1:46" hidden="1" x14ac:dyDescent="0.2">
      <c r="A98" s="306"/>
      <c r="B98" s="162"/>
      <c r="C98" s="162"/>
      <c r="D98" s="161"/>
      <c r="E98" s="161"/>
      <c r="F98" s="162"/>
      <c r="G98" s="162"/>
      <c r="H98" s="162"/>
      <c r="I98" s="161"/>
      <c r="J98" s="161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AT98" s="26"/>
    </row>
    <row r="99" spans="1:46" hidden="1" x14ac:dyDescent="0.2">
      <c r="A99" s="306"/>
      <c r="B99" s="162"/>
      <c r="C99" s="162"/>
      <c r="D99" s="161"/>
      <c r="E99" s="161"/>
      <c r="F99" s="162"/>
      <c r="G99" s="162"/>
      <c r="H99" s="162"/>
      <c r="I99" s="161"/>
      <c r="J99" s="161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AT99" s="26"/>
    </row>
    <row r="100" spans="1:46" ht="13.5" hidden="1" thickBot="1" x14ac:dyDescent="0.25">
      <c r="A100" s="26"/>
      <c r="B100" s="10"/>
      <c r="C100" s="10"/>
      <c r="D100" s="10"/>
      <c r="E100" s="10"/>
      <c r="F100" s="162"/>
      <c r="G100" s="162"/>
      <c r="H100" s="162"/>
      <c r="I100" s="161"/>
      <c r="J100" s="161"/>
      <c r="K100" s="10"/>
      <c r="L100" s="10"/>
      <c r="M100" s="10"/>
      <c r="N100" s="10"/>
      <c r="O100" s="10"/>
      <c r="P100" s="10"/>
      <c r="Q100" s="160"/>
      <c r="R100" s="160"/>
      <c r="S100" s="160"/>
      <c r="T100" s="160"/>
      <c r="U100" s="160"/>
      <c r="V100" s="10"/>
      <c r="AT100" s="26"/>
    </row>
    <row r="101" spans="1:46" hidden="1" x14ac:dyDescent="0.2">
      <c r="A101" s="26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AT101" s="26"/>
    </row>
    <row r="102" spans="1:46" hidden="1" x14ac:dyDescent="0.2">
      <c r="A102" s="26"/>
      <c r="B102" s="158"/>
      <c r="C102" s="10"/>
      <c r="D102" s="10"/>
      <c r="E102" s="10"/>
      <c r="F102" s="10"/>
      <c r="G102" s="10"/>
      <c r="H102" s="10"/>
      <c r="I102" s="10"/>
      <c r="J102" s="157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AT102" s="26"/>
    </row>
    <row r="103" spans="1:46" hidden="1" x14ac:dyDescent="0.2">
      <c r="A103" s="26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AT103" s="26"/>
    </row>
    <row r="104" spans="1:46" hidden="1" x14ac:dyDescent="0.2">
      <c r="A104" s="26"/>
      <c r="B104" s="158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AT104" s="26"/>
    </row>
    <row r="105" spans="1:46" hidden="1" x14ac:dyDescent="0.2">
      <c r="A105" s="26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57"/>
      <c r="O105" s="10"/>
      <c r="P105" s="10"/>
      <c r="Q105" s="10"/>
      <c r="R105" s="10"/>
      <c r="S105" s="10"/>
      <c r="T105" s="10"/>
      <c r="U105" s="10"/>
      <c r="V105" s="10"/>
      <c r="AT105" s="26"/>
    </row>
    <row r="106" spans="1:46" hidden="1" x14ac:dyDescent="0.2">
      <c r="A106" s="26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AT106" s="26"/>
    </row>
    <row r="107" spans="1:46" hidden="1" x14ac:dyDescent="0.2">
      <c r="A107" s="26"/>
      <c r="B107" s="15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AT107" s="26"/>
    </row>
    <row r="108" spans="1:46" hidden="1" x14ac:dyDescent="0.2">
      <c r="A108" s="26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AT108" s="26"/>
    </row>
    <row r="109" spans="1:46" hidden="1" x14ac:dyDescent="0.2">
      <c r="A109" s="26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AT109" s="26"/>
    </row>
    <row r="110" spans="1:46" hidden="1" x14ac:dyDescent="0.2">
      <c r="A110" s="26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AT110" s="26"/>
    </row>
    <row r="111" spans="1:46" hidden="1" x14ac:dyDescent="0.2">
      <c r="A111" s="26"/>
      <c r="B111" s="157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AT111" s="26"/>
    </row>
    <row r="112" spans="1:46" hidden="1" x14ac:dyDescent="0.2">
      <c r="A112" s="26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AT112" s="26"/>
    </row>
    <row r="113" spans="1:46" hidden="1" x14ac:dyDescent="0.2">
      <c r="A113" s="26"/>
      <c r="B113" s="157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AT113" s="26"/>
    </row>
    <row r="114" spans="1:46" ht="13.5" thickBot="1" x14ac:dyDescent="0.25">
      <c r="A114" s="26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26"/>
      <c r="P114" s="10"/>
      <c r="Q114" s="10"/>
      <c r="R114" s="10"/>
      <c r="S114" s="10"/>
      <c r="T114" s="10"/>
      <c r="U114" s="10"/>
      <c r="V114" s="10"/>
      <c r="AT114" s="26"/>
    </row>
    <row r="115" spans="1:46" x14ac:dyDescent="0.2">
      <c r="A115" s="26"/>
      <c r="B115" s="807" t="s">
        <v>406</v>
      </c>
      <c r="C115" s="808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26"/>
      <c r="P115" s="10"/>
      <c r="Q115" s="10"/>
      <c r="R115" s="10"/>
      <c r="S115" s="10"/>
      <c r="T115" s="10"/>
      <c r="U115" s="10"/>
      <c r="V115" s="10"/>
      <c r="AT115" s="26"/>
    </row>
    <row r="116" spans="1:46" x14ac:dyDescent="0.2">
      <c r="A116" s="26"/>
      <c r="B116" s="524" t="s">
        <v>549</v>
      </c>
      <c r="C116" s="525" t="s">
        <v>394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26"/>
      <c r="P116" s="10"/>
      <c r="Q116" s="10"/>
      <c r="R116" s="10"/>
      <c r="S116" s="10"/>
      <c r="T116" s="10"/>
      <c r="U116" s="10"/>
      <c r="V116" s="10"/>
      <c r="AT116" s="26"/>
    </row>
    <row r="117" spans="1:46" x14ac:dyDescent="0.2">
      <c r="A117" s="26"/>
      <c r="B117" s="254" t="s">
        <v>24</v>
      </c>
      <c r="C117" s="253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26"/>
      <c r="P117" s="10"/>
      <c r="Q117" s="10"/>
      <c r="R117" s="10"/>
      <c r="S117" s="10"/>
      <c r="T117" s="10"/>
      <c r="U117" s="10"/>
      <c r="V117" s="10"/>
      <c r="AT117" s="26"/>
    </row>
    <row r="118" spans="1:46" x14ac:dyDescent="0.2">
      <c r="A118" s="26"/>
      <c r="B118" s="239" t="s">
        <v>377</v>
      </c>
      <c r="C118" s="238" t="s">
        <v>393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26"/>
      <c r="P118" s="10"/>
      <c r="Q118" s="10"/>
      <c r="R118" s="10"/>
      <c r="S118" s="10"/>
      <c r="T118" s="10"/>
      <c r="U118" s="10"/>
      <c r="V118" s="10"/>
      <c r="AT118" s="26"/>
    </row>
    <row r="119" spans="1:46" x14ac:dyDescent="0.2">
      <c r="A119" s="26"/>
      <c r="B119" s="526">
        <v>15</v>
      </c>
      <c r="C119" s="523" t="s">
        <v>366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26"/>
      <c r="P119" s="10"/>
      <c r="Q119" s="10"/>
      <c r="R119" s="10"/>
      <c r="S119" s="10"/>
      <c r="T119" s="10"/>
      <c r="U119" s="10"/>
      <c r="V119" s="10"/>
      <c r="AT119" s="26"/>
    </row>
    <row r="120" spans="1:46" x14ac:dyDescent="0.2">
      <c r="A120" s="26"/>
      <c r="B120" s="239">
        <v>20</v>
      </c>
      <c r="C120" s="238" t="s">
        <v>366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26"/>
      <c r="P120" s="10"/>
      <c r="Q120" s="10"/>
      <c r="R120" s="10"/>
      <c r="S120" s="10"/>
      <c r="T120" s="10"/>
      <c r="U120" s="10"/>
      <c r="V120" s="10"/>
      <c r="AT120" s="26"/>
    </row>
    <row r="121" spans="1:46" x14ac:dyDescent="0.2">
      <c r="A121" s="26"/>
      <c r="B121" s="261">
        <v>25</v>
      </c>
      <c r="C121" s="523" t="s">
        <v>366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26"/>
      <c r="P121" s="10"/>
      <c r="Q121" s="10"/>
      <c r="R121" s="10"/>
      <c r="S121" s="10"/>
      <c r="T121" s="10"/>
      <c r="U121" s="10"/>
      <c r="V121" s="10"/>
      <c r="AT121" s="26"/>
    </row>
    <row r="122" spans="1:46" x14ac:dyDescent="0.2">
      <c r="A122" s="26"/>
      <c r="B122" s="226"/>
      <c r="C122" s="225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26"/>
      <c r="P122" s="10"/>
      <c r="Q122" s="10"/>
      <c r="R122" s="10"/>
      <c r="S122" s="10"/>
      <c r="T122" s="10"/>
      <c r="U122" s="10"/>
      <c r="V122" s="10"/>
      <c r="AT122" s="26"/>
    </row>
    <row r="123" spans="1:46" x14ac:dyDescent="0.2">
      <c r="A123" s="26"/>
      <c r="B123" s="809" t="s">
        <v>405</v>
      </c>
      <c r="C123" s="8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26"/>
      <c r="P123" s="10"/>
      <c r="Q123" s="10"/>
      <c r="R123" s="10"/>
      <c r="S123" s="10"/>
      <c r="T123" s="10"/>
      <c r="U123" s="10"/>
      <c r="V123" s="10"/>
      <c r="AT123" s="26"/>
    </row>
    <row r="124" spans="1:46" ht="13.5" thickBot="1" x14ac:dyDescent="0.25">
      <c r="A124" s="32"/>
      <c r="B124" s="527">
        <v>15</v>
      </c>
      <c r="C124" s="528" t="s">
        <v>366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6"/>
      <c r="P124" s="10"/>
      <c r="Q124" s="10"/>
      <c r="R124" s="10"/>
      <c r="S124" s="10"/>
      <c r="T124" s="10"/>
      <c r="U124" s="10"/>
      <c r="V124" s="10"/>
      <c r="AT124" s="26"/>
    </row>
    <row r="125" spans="1:46" ht="13.5" thickTop="1" x14ac:dyDescent="0.2">
      <c r="O125" s="10"/>
      <c r="P125" s="10"/>
      <c r="Q125" s="10"/>
      <c r="R125" s="10"/>
      <c r="S125" s="10"/>
      <c r="T125" s="10"/>
      <c r="U125" s="10"/>
    </row>
  </sheetData>
  <sheetProtection sheet="1" objects="1" scenarios="1"/>
  <mergeCells count="20">
    <mergeCell ref="A1:L1"/>
    <mergeCell ref="R12:U12"/>
    <mergeCell ref="A2:N2"/>
    <mergeCell ref="Q43:R43"/>
    <mergeCell ref="O42:R42"/>
    <mergeCell ref="J41:R41"/>
    <mergeCell ref="M43:N43"/>
    <mergeCell ref="M29:N29"/>
    <mergeCell ref="B123:C123"/>
    <mergeCell ref="C29:G29"/>
    <mergeCell ref="C90:F90"/>
    <mergeCell ref="H90:K90"/>
    <mergeCell ref="E91:F91"/>
    <mergeCell ref="J91:K91"/>
    <mergeCell ref="B41:I41"/>
    <mergeCell ref="W12:Z12"/>
    <mergeCell ref="T13:U13"/>
    <mergeCell ref="Y13:Z13"/>
    <mergeCell ref="H29:L29"/>
    <mergeCell ref="B115:C115"/>
  </mergeCells>
  <pageMargins left="0.19685039370078741" right="0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N24" sqref="N24"/>
    </sheetView>
  </sheetViews>
  <sheetFormatPr defaultRowHeight="12.75" x14ac:dyDescent="0.2"/>
  <cols>
    <col min="1" max="1" width="23.7109375" customWidth="1"/>
    <col min="2" max="2" width="14.28515625" customWidth="1"/>
    <col min="3" max="3" width="15.7109375" customWidth="1"/>
    <col min="4" max="5" width="16.7109375" customWidth="1"/>
    <col min="6" max="7" width="10.7109375" customWidth="1"/>
    <col min="8" max="8" width="7.140625" customWidth="1"/>
    <col min="9" max="9" width="10.7109375" customWidth="1"/>
    <col min="10" max="10" width="20.42578125" customWidth="1"/>
  </cols>
  <sheetData>
    <row r="1" spans="1:10" ht="21" thickTop="1" x14ac:dyDescent="0.3">
      <c r="A1" s="719" t="s">
        <v>593</v>
      </c>
      <c r="B1" s="720"/>
      <c r="C1" s="720"/>
      <c r="D1" s="720"/>
      <c r="E1" s="720"/>
      <c r="F1" s="720"/>
      <c r="G1" s="720"/>
      <c r="H1" s="720"/>
      <c r="I1" s="720"/>
      <c r="J1" s="721"/>
    </row>
    <row r="2" spans="1:10" ht="21" thickBot="1" x14ac:dyDescent="0.35">
      <c r="A2" s="725" t="s">
        <v>594</v>
      </c>
      <c r="B2" s="726"/>
      <c r="C2" s="726"/>
      <c r="D2" s="726"/>
      <c r="E2" s="726"/>
      <c r="F2" s="726"/>
      <c r="G2" s="726"/>
      <c r="H2" s="726"/>
      <c r="I2" s="726"/>
      <c r="J2" s="727"/>
    </row>
    <row r="3" spans="1:10" ht="13.5" thickTop="1" x14ac:dyDescent="0.2">
      <c r="A3" s="22"/>
      <c r="B3" s="62"/>
      <c r="C3" s="62"/>
      <c r="D3" s="23"/>
      <c r="E3" s="23"/>
      <c r="F3" s="23"/>
      <c r="G3" s="23"/>
      <c r="H3" s="23"/>
      <c r="I3" s="23"/>
      <c r="J3" s="24"/>
    </row>
    <row r="4" spans="1:10" x14ac:dyDescent="0.2">
      <c r="A4" s="26"/>
      <c r="B4" s="21" t="s">
        <v>25</v>
      </c>
      <c r="C4" s="10"/>
      <c r="D4" s="36"/>
      <c r="F4" s="10"/>
      <c r="G4" s="10"/>
      <c r="H4" s="10"/>
      <c r="I4" s="10"/>
      <c r="J4" s="25"/>
    </row>
    <row r="5" spans="1:10" hidden="1" x14ac:dyDescent="0.2">
      <c r="A5" s="37" t="s">
        <v>595</v>
      </c>
      <c r="B5" s="38">
        <v>400</v>
      </c>
      <c r="C5" s="28" t="s">
        <v>598</v>
      </c>
      <c r="F5" s="10"/>
      <c r="G5" s="10"/>
      <c r="H5" s="10"/>
      <c r="I5" s="10"/>
      <c r="J5" s="25"/>
    </row>
    <row r="6" spans="1:10" x14ac:dyDescent="0.2">
      <c r="A6" s="37" t="s">
        <v>596</v>
      </c>
      <c r="B6" s="38">
        <v>1000</v>
      </c>
      <c r="C6" s="28" t="s">
        <v>393</v>
      </c>
      <c r="D6" s="67"/>
      <c r="F6" s="10"/>
      <c r="G6" s="27"/>
      <c r="H6" s="10"/>
      <c r="I6" s="10"/>
      <c r="J6" s="25"/>
    </row>
    <row r="7" spans="1:10" x14ac:dyDescent="0.2">
      <c r="A7" s="37" t="s">
        <v>597</v>
      </c>
      <c r="B7" s="38">
        <v>500</v>
      </c>
      <c r="C7" s="28" t="s">
        <v>393</v>
      </c>
      <c r="F7" s="10"/>
      <c r="G7" s="27"/>
      <c r="H7" s="10"/>
      <c r="I7" s="10"/>
      <c r="J7" s="25"/>
    </row>
    <row r="8" spans="1:10" ht="13.5" thickBot="1" x14ac:dyDescent="0.25">
      <c r="A8" s="26"/>
      <c r="B8" s="10"/>
      <c r="C8" s="10"/>
      <c r="D8" s="10"/>
      <c r="E8" s="10"/>
      <c r="F8" s="10"/>
      <c r="G8" s="10"/>
      <c r="H8" s="10"/>
      <c r="I8" s="10"/>
      <c r="J8" s="25"/>
    </row>
    <row r="9" spans="1:10" ht="13.5" thickTop="1" x14ac:dyDescent="0.2">
      <c r="A9" s="722" t="s">
        <v>24</v>
      </c>
      <c r="B9" s="718" t="s">
        <v>61</v>
      </c>
      <c r="C9" s="718"/>
      <c r="D9" s="718" t="s">
        <v>600</v>
      </c>
      <c r="E9" s="718"/>
      <c r="F9" s="718" t="s">
        <v>601</v>
      </c>
      <c r="G9" s="724"/>
      <c r="H9" s="10"/>
      <c r="I9" s="10"/>
      <c r="J9" s="25"/>
    </row>
    <row r="10" spans="1:10" x14ac:dyDescent="0.2">
      <c r="A10" s="723"/>
      <c r="B10" s="503" t="s">
        <v>599</v>
      </c>
      <c r="C10" s="503" t="s">
        <v>62</v>
      </c>
      <c r="D10" s="142" t="s">
        <v>63</v>
      </c>
      <c r="E10" s="103" t="s">
        <v>74</v>
      </c>
      <c r="F10" s="819" t="s">
        <v>63</v>
      </c>
      <c r="G10" s="820"/>
      <c r="H10" s="10"/>
      <c r="I10" s="10"/>
      <c r="J10" s="25"/>
    </row>
    <row r="11" spans="1:10" x14ac:dyDescent="0.2">
      <c r="A11" s="547" t="s">
        <v>173</v>
      </c>
      <c r="B11" s="279" t="s">
        <v>572</v>
      </c>
      <c r="C11" s="279" t="s">
        <v>93</v>
      </c>
      <c r="D11" s="548" t="str">
        <f>IF(I37="UDEN FOR OMRÅDET","NOT POSSIBLE",IF(J37="UDEN FOR OMRÅDET","NOT POSSIBLE",(0.0111*B6-0.1246)))</f>
        <v>NOT POSSIBLE</v>
      </c>
      <c r="E11" s="549" t="str">
        <f>IF(I37="UDEN FOR OMRÅDET","NOT POSSIBLE",IF($B$6&lt;66,14.6,((((-0.000003*B6^2+0.0097*B6+13.982))))))</f>
        <v>NOT POSSIBLE</v>
      </c>
      <c r="F11" s="817" t="str">
        <f>IF(D11="NOT POSSIBLE","NOT POSSIBLE",IF($B$7&gt;$B$6,"NOT POSSIBLE",($B$7/$B$6)))</f>
        <v>NOT POSSIBLE</v>
      </c>
      <c r="G11" s="818"/>
      <c r="H11" s="10"/>
      <c r="I11" s="10"/>
      <c r="J11" s="25"/>
    </row>
    <row r="12" spans="1:10" x14ac:dyDescent="0.2">
      <c r="A12" s="664" t="s">
        <v>592</v>
      </c>
      <c r="B12" s="665" t="s">
        <v>575</v>
      </c>
      <c r="C12" s="665" t="s">
        <v>80</v>
      </c>
      <c r="D12" s="662">
        <f>IF(I38="UDEN FOR OMRÅDET","NOT POSSIBLE",IF(J38="UDEN FOR OMRÅDET","NOT POSSIBLE",( 0.0031*B6-0.0739)))</f>
        <v>3.0261</v>
      </c>
      <c r="E12" s="663">
        <f>IF(I38="UDEN FOR OMRÅDET","NOT POSSIBLE",IF($B$6&lt;219,16,((((-0.000003*B6^2+0.0097*B6+13.982))))))</f>
        <v>20.682000000000002</v>
      </c>
      <c r="F12" s="817">
        <f>IF(D12="NOT POSSIBLE","NOT POSSIBLE",IF($B$7&gt;$B$6,"NOT POSSIBLE",($B$7/$B$6)))</f>
        <v>0.5</v>
      </c>
      <c r="G12" s="818"/>
      <c r="H12" s="10"/>
      <c r="I12" s="10"/>
      <c r="J12" s="25"/>
    </row>
    <row r="13" spans="1:10" ht="13.5" thickBot="1" x14ac:dyDescent="0.25">
      <c r="A13" s="550" t="s">
        <v>637</v>
      </c>
      <c r="B13" s="551" t="s">
        <v>590</v>
      </c>
      <c r="C13" s="551" t="s">
        <v>99</v>
      </c>
      <c r="D13" s="544">
        <f>IF(I39="UDEN FOR OMRÅDET","NOT POSSIBLE",IF(J38="UDEN FOR OMRÅDET","NOT POSSIBLE",( 0.00113*B6-0.077966)))</f>
        <v>1.0520339999999999</v>
      </c>
      <c r="E13" s="552">
        <f>IF(I39="UDEN FOR OMRÅDET","NOT POSSIBLE",IF($B$6&lt;219,16,((((0.1565*D13^3-0.4391*D13^2+0.7641*D13+16.949))))))</f>
        <v>17.449097241073726</v>
      </c>
      <c r="F13" s="821">
        <f>IF(D13="NOT POSSIBLE","NOT POSSIBLE",IF($B$7&gt;$B$6,"NICHT MÖGLICH",($B$7/$B$6)))</f>
        <v>0.5</v>
      </c>
      <c r="G13" s="822"/>
      <c r="H13" s="10"/>
      <c r="I13" s="10"/>
      <c r="J13" s="25"/>
    </row>
    <row r="14" spans="1:10" ht="13.5" thickTop="1" x14ac:dyDescent="0.2">
      <c r="A14" s="26"/>
      <c r="B14" s="10"/>
      <c r="C14" s="10"/>
      <c r="D14" s="10"/>
      <c r="E14" s="10"/>
      <c r="F14" s="10"/>
      <c r="G14" s="10"/>
      <c r="H14" s="10"/>
      <c r="I14" s="10"/>
      <c r="J14" s="25"/>
    </row>
    <row r="15" spans="1:10" x14ac:dyDescent="0.2">
      <c r="A15" s="26"/>
      <c r="B15" s="10"/>
      <c r="C15" s="10"/>
      <c r="D15" s="10"/>
      <c r="E15" s="36"/>
      <c r="F15" s="10"/>
      <c r="G15" s="10"/>
      <c r="H15" s="10"/>
      <c r="I15" s="10"/>
      <c r="J15" s="25"/>
    </row>
    <row r="16" spans="1:10" x14ac:dyDescent="0.2">
      <c r="A16" s="26"/>
      <c r="B16" s="10"/>
      <c r="C16" s="10"/>
      <c r="F16" s="10"/>
      <c r="G16" s="10"/>
      <c r="H16" s="10"/>
      <c r="I16" s="10"/>
      <c r="J16" s="25"/>
    </row>
    <row r="17" spans="1:10" x14ac:dyDescent="0.2">
      <c r="A17" s="26"/>
      <c r="B17" s="10"/>
      <c r="C17" s="10"/>
      <c r="F17" s="10"/>
      <c r="G17" s="10"/>
      <c r="H17" s="10"/>
      <c r="I17" s="10"/>
      <c r="J17" s="25"/>
    </row>
    <row r="18" spans="1:10" x14ac:dyDescent="0.2">
      <c r="A18" s="26"/>
      <c r="B18" s="10"/>
      <c r="C18" s="10"/>
      <c r="F18" s="10"/>
      <c r="G18" s="10"/>
      <c r="H18" s="10"/>
      <c r="I18" s="10"/>
      <c r="J18" s="25"/>
    </row>
    <row r="19" spans="1:10" x14ac:dyDescent="0.2">
      <c r="A19" s="26"/>
      <c r="B19" s="10"/>
      <c r="C19" s="10"/>
      <c r="D19" s="10"/>
      <c r="F19" s="10"/>
      <c r="G19" s="10"/>
      <c r="H19" s="10"/>
      <c r="I19" s="10"/>
      <c r="J19" s="25"/>
    </row>
    <row r="20" spans="1:10" x14ac:dyDescent="0.2">
      <c r="A20" s="26"/>
      <c r="B20" s="10"/>
      <c r="C20" s="10"/>
      <c r="D20" s="10"/>
      <c r="F20" s="10"/>
      <c r="G20" s="10"/>
      <c r="H20" s="10"/>
      <c r="I20" s="10"/>
      <c r="J20" s="25"/>
    </row>
    <row r="21" spans="1:10" x14ac:dyDescent="0.2">
      <c r="A21" s="26"/>
      <c r="B21" s="10"/>
      <c r="C21" s="10"/>
      <c r="D21" s="10"/>
      <c r="F21" s="10"/>
      <c r="G21" s="10"/>
      <c r="H21" s="10"/>
      <c r="I21" s="10"/>
      <c r="J21" s="25"/>
    </row>
    <row r="22" spans="1:10" x14ac:dyDescent="0.2">
      <c r="A22" s="26"/>
      <c r="B22" s="10"/>
      <c r="C22" s="10"/>
      <c r="D22" s="10"/>
      <c r="F22" s="10"/>
      <c r="G22" s="10"/>
      <c r="H22" s="10"/>
      <c r="I22" s="10"/>
      <c r="J22" s="25"/>
    </row>
    <row r="23" spans="1:10" x14ac:dyDescent="0.2">
      <c r="A23" s="26"/>
      <c r="B23" s="10"/>
      <c r="C23" s="10"/>
      <c r="D23" s="10"/>
      <c r="F23" s="10"/>
      <c r="G23" s="10"/>
      <c r="H23" s="10"/>
      <c r="I23" s="10"/>
      <c r="J23" s="25"/>
    </row>
    <row r="24" spans="1:10" x14ac:dyDescent="0.2">
      <c r="A24" s="26"/>
      <c r="B24" s="10"/>
      <c r="C24" s="10"/>
      <c r="D24" s="10"/>
      <c r="F24" s="10"/>
      <c r="G24" s="10"/>
      <c r="H24" s="10"/>
      <c r="I24" s="10"/>
      <c r="J24" s="25"/>
    </row>
    <row r="25" spans="1:10" x14ac:dyDescent="0.2">
      <c r="A25" s="26"/>
      <c r="B25" s="10"/>
      <c r="C25" s="10"/>
      <c r="D25" s="10"/>
      <c r="F25" s="10"/>
      <c r="G25" s="10"/>
      <c r="H25" s="10"/>
      <c r="I25" s="10"/>
      <c r="J25" s="25"/>
    </row>
    <row r="26" spans="1:10" x14ac:dyDescent="0.2">
      <c r="A26" s="26"/>
      <c r="B26" s="10"/>
      <c r="C26" s="10"/>
      <c r="D26" s="10"/>
      <c r="F26" s="10"/>
      <c r="G26" s="10"/>
      <c r="H26" s="10"/>
      <c r="I26" s="10"/>
      <c r="J26" s="25"/>
    </row>
    <row r="27" spans="1:10" x14ac:dyDescent="0.2">
      <c r="A27" s="26"/>
      <c r="B27" s="10"/>
      <c r="C27" s="10"/>
      <c r="D27" s="10"/>
      <c r="F27" s="10"/>
      <c r="G27" s="10"/>
      <c r="H27" s="10"/>
      <c r="I27" s="10"/>
      <c r="J27" s="25"/>
    </row>
    <row r="28" spans="1:10" x14ac:dyDescent="0.2">
      <c r="A28" s="26"/>
      <c r="B28" s="10"/>
      <c r="C28" s="10"/>
      <c r="D28" s="10"/>
      <c r="F28" s="10"/>
      <c r="G28" s="10"/>
      <c r="H28" s="10"/>
      <c r="I28" s="10"/>
      <c r="J28" s="25"/>
    </row>
    <row r="29" spans="1:10" x14ac:dyDescent="0.2">
      <c r="A29" s="26"/>
      <c r="B29" s="10"/>
      <c r="C29" s="10"/>
      <c r="D29" s="10"/>
      <c r="F29" s="10"/>
      <c r="G29" s="10"/>
      <c r="H29" s="10"/>
      <c r="I29" s="10"/>
      <c r="J29" s="25"/>
    </row>
    <row r="30" spans="1:10" x14ac:dyDescent="0.2">
      <c r="A30" s="26"/>
      <c r="B30" s="10"/>
      <c r="C30" s="10"/>
      <c r="D30" s="10"/>
      <c r="E30" s="31"/>
      <c r="F30" s="10"/>
      <c r="G30" s="10"/>
      <c r="H30" s="10"/>
      <c r="I30" s="10"/>
      <c r="J30" s="25"/>
    </row>
    <row r="31" spans="1:10" ht="13.5" thickBot="1" x14ac:dyDescent="0.25">
      <c r="A31" s="32" t="s">
        <v>178</v>
      </c>
      <c r="B31" s="34"/>
      <c r="C31" s="34"/>
      <c r="D31" s="33"/>
      <c r="E31" s="34"/>
      <c r="F31" s="34"/>
      <c r="G31" s="34"/>
      <c r="H31" s="34"/>
      <c r="I31" s="34"/>
      <c r="J31" s="35"/>
    </row>
    <row r="32" spans="1:10" ht="13.5" thickTop="1" x14ac:dyDescent="0.2">
      <c r="D32" s="77"/>
    </row>
    <row r="33" spans="1:10" hidden="1" x14ac:dyDescent="0.2">
      <c r="D33" s="77"/>
    </row>
    <row r="34" spans="1:10" ht="26.25" hidden="1" x14ac:dyDescent="0.4">
      <c r="A34" s="712" t="s">
        <v>11</v>
      </c>
      <c r="B34" s="712"/>
      <c r="C34" s="712"/>
      <c r="D34" s="713"/>
      <c r="E34" s="713"/>
      <c r="F34" s="713"/>
      <c r="G34" s="713"/>
      <c r="H34" s="713"/>
      <c r="I34" s="713"/>
      <c r="J34" s="713"/>
    </row>
    <row r="35" spans="1:10" ht="13.5" hidden="1" thickBot="1" x14ac:dyDescent="0.25"/>
    <row r="36" spans="1:10" ht="14.25" hidden="1" thickTop="1" thickBot="1" x14ac:dyDescent="0.25">
      <c r="A36" s="11" t="s">
        <v>0</v>
      </c>
      <c r="B36" s="64"/>
      <c r="C36" s="64"/>
      <c r="D36" s="12" t="s">
        <v>1</v>
      </c>
      <c r="E36" s="12" t="s">
        <v>3</v>
      </c>
      <c r="F36" s="12" t="s">
        <v>8</v>
      </c>
      <c r="G36" s="12" t="s">
        <v>4</v>
      </c>
      <c r="H36" s="12" t="s">
        <v>5</v>
      </c>
      <c r="I36" s="13" t="s">
        <v>6</v>
      </c>
      <c r="J36" s="14" t="s">
        <v>7</v>
      </c>
    </row>
    <row r="37" spans="1:10" ht="13.5" hidden="1" thickBot="1" x14ac:dyDescent="0.25">
      <c r="A37" s="553" t="s">
        <v>173</v>
      </c>
      <c r="B37" s="65"/>
      <c r="C37" s="65"/>
      <c r="D37" s="81"/>
      <c r="E37" s="81"/>
      <c r="F37" s="80">
        <v>0.9</v>
      </c>
      <c r="G37" s="45">
        <v>65</v>
      </c>
      <c r="H37" s="1">
        <v>370</v>
      </c>
      <c r="I37" s="2" t="str">
        <f>IF($B$6&lt;=G37-1,"UDEN FOR OMRÅDET",IF($B$6&gt;=H37+1,"UDEN FOR OMRÅDET",$B$6))</f>
        <v>UDEN FOR OMRÅDET</v>
      </c>
      <c r="J37" s="16">
        <f>IF($B$5&lt;=13,"UDEN FOR OMRÅDET",IF($B$5&gt;=401,"UDEN FOR OMRÅDET",$B$5))</f>
        <v>400</v>
      </c>
    </row>
    <row r="38" spans="1:10" ht="13.5" hidden="1" thickBot="1" x14ac:dyDescent="0.25">
      <c r="A38" s="553" t="s">
        <v>592</v>
      </c>
      <c r="B38" s="65"/>
      <c r="C38" s="65"/>
      <c r="D38" s="81"/>
      <c r="E38" s="83"/>
      <c r="F38" s="84">
        <v>2.7</v>
      </c>
      <c r="G38" s="2">
        <v>220</v>
      </c>
      <c r="H38" s="2">
        <v>1330</v>
      </c>
      <c r="I38" s="2">
        <f>IF($B$6&lt;=G38-1,"UDEN FOR OMRÅDET",IF($B$6&gt;=H38+1,"UDEN FOR OMRÅDET",$B$6))</f>
        <v>1000</v>
      </c>
      <c r="J38" s="16">
        <f>IF($B$5&lt;=15,"UDEN FOR OMRÅDET",IF($B$5&gt;=401,"UDEN FOR OMRÅDET",$B$5))</f>
        <v>400</v>
      </c>
    </row>
    <row r="39" spans="1:10" hidden="1" x14ac:dyDescent="0.2">
      <c r="A39" s="553" t="s">
        <v>49</v>
      </c>
      <c r="B39" s="65"/>
      <c r="C39" s="65"/>
      <c r="D39" s="81"/>
      <c r="E39" s="83"/>
      <c r="F39" s="84">
        <v>7.5</v>
      </c>
      <c r="G39" s="660">
        <v>600</v>
      </c>
      <c r="H39" s="660">
        <v>3609</v>
      </c>
      <c r="I39" s="660">
        <f>IF($B$6&lt;=G39-1,"UDEN FOR OMRÅDET",IF($B$6&gt;=H39+1,"UDEN FOR OMRÅDET",$B$6))</f>
        <v>1000</v>
      </c>
      <c r="J39" s="16">
        <f>IF($B$5&lt;=15,"UDEN FOR OMRÅDET",IF($B$5&gt;=401,"UDEN FOR OMRÅDET",$B$5))</f>
        <v>400</v>
      </c>
    </row>
    <row r="40" spans="1:10" hidden="1" x14ac:dyDescent="0.2"/>
    <row r="41" spans="1:10" hidden="1" x14ac:dyDescent="0.2"/>
    <row r="42" spans="1:10" hidden="1" x14ac:dyDescent="0.2"/>
  </sheetData>
  <sheetProtection sheet="1" objects="1" scenarios="1"/>
  <mergeCells count="11">
    <mergeCell ref="F11:G11"/>
    <mergeCell ref="F12:G12"/>
    <mergeCell ref="A34:J34"/>
    <mergeCell ref="A1:J1"/>
    <mergeCell ref="A2:J2"/>
    <mergeCell ref="A9:A10"/>
    <mergeCell ref="B9:C9"/>
    <mergeCell ref="D9:E9"/>
    <mergeCell ref="F9:G9"/>
    <mergeCell ref="F10:G10"/>
    <mergeCell ref="F13:G1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D56" sqref="D56"/>
    </sheetView>
  </sheetViews>
  <sheetFormatPr defaultRowHeight="12.75" x14ac:dyDescent="0.2"/>
  <cols>
    <col min="1" max="1" width="23.7109375" customWidth="1"/>
    <col min="2" max="2" width="14.28515625" customWidth="1"/>
    <col min="3" max="3" width="15.7109375" customWidth="1"/>
    <col min="4" max="6" width="16.7109375" customWidth="1"/>
    <col min="7" max="8" width="10.7109375" customWidth="1"/>
    <col min="9" max="9" width="7.140625" customWidth="1"/>
  </cols>
  <sheetData>
    <row r="1" spans="1:9" ht="21" thickTop="1" x14ac:dyDescent="0.3">
      <c r="A1" s="719" t="s">
        <v>702</v>
      </c>
      <c r="B1" s="720"/>
      <c r="C1" s="720"/>
      <c r="D1" s="720"/>
      <c r="E1" s="720"/>
      <c r="F1" s="720"/>
      <c r="G1" s="720"/>
      <c r="H1" s="720"/>
      <c r="I1" s="721"/>
    </row>
    <row r="2" spans="1:9" ht="21" thickBot="1" x14ac:dyDescent="0.35">
      <c r="A2" s="725" t="s">
        <v>594</v>
      </c>
      <c r="B2" s="726"/>
      <c r="C2" s="726"/>
      <c r="D2" s="726"/>
      <c r="E2" s="726"/>
      <c r="F2" s="726"/>
      <c r="G2" s="726"/>
      <c r="H2" s="726"/>
      <c r="I2" s="727"/>
    </row>
    <row r="3" spans="1:9" ht="13.5" thickTop="1" x14ac:dyDescent="0.2">
      <c r="A3" s="22"/>
      <c r="B3" s="62"/>
      <c r="C3" s="62"/>
      <c r="D3" s="23"/>
      <c r="E3" s="23"/>
      <c r="F3" s="23"/>
      <c r="G3" s="23"/>
      <c r="H3" s="23"/>
      <c r="I3" s="24"/>
    </row>
    <row r="4" spans="1:9" x14ac:dyDescent="0.2">
      <c r="A4" s="26"/>
      <c r="B4" s="689" t="s">
        <v>25</v>
      </c>
      <c r="C4" s="98"/>
      <c r="D4" s="36"/>
      <c r="E4" s="10"/>
      <c r="F4" s="10"/>
      <c r="G4" s="10"/>
      <c r="H4" s="10"/>
      <c r="I4" s="25"/>
    </row>
    <row r="5" spans="1:9" hidden="1" x14ac:dyDescent="0.2">
      <c r="A5" s="37" t="s">
        <v>595</v>
      </c>
      <c r="B5" s="38">
        <v>400</v>
      </c>
      <c r="C5" s="186" t="s">
        <v>598</v>
      </c>
      <c r="D5" s="10"/>
      <c r="E5" s="10"/>
      <c r="F5" s="10"/>
      <c r="G5" s="10"/>
      <c r="H5" s="10"/>
      <c r="I5" s="25"/>
    </row>
    <row r="6" spans="1:9" x14ac:dyDescent="0.2">
      <c r="A6" s="37" t="s">
        <v>596</v>
      </c>
      <c r="B6" s="38">
        <v>1800</v>
      </c>
      <c r="C6" s="186" t="s">
        <v>393</v>
      </c>
      <c r="D6" s="27"/>
      <c r="E6" s="10"/>
      <c r="F6" s="10"/>
      <c r="G6" s="10"/>
      <c r="H6" s="27"/>
      <c r="I6" s="25"/>
    </row>
    <row r="7" spans="1:9" x14ac:dyDescent="0.2">
      <c r="A7" s="37" t="s">
        <v>597</v>
      </c>
      <c r="B7" s="38">
        <v>200</v>
      </c>
      <c r="C7" s="186" t="s">
        <v>393</v>
      </c>
      <c r="D7" s="10"/>
      <c r="E7" s="10"/>
      <c r="F7" s="10"/>
      <c r="G7" s="10"/>
      <c r="H7" s="27"/>
      <c r="I7" s="25"/>
    </row>
    <row r="8" spans="1:9" ht="13.5" thickBot="1" x14ac:dyDescent="0.25">
      <c r="A8" s="37"/>
      <c r="B8" s="693"/>
      <c r="C8" s="186"/>
      <c r="D8" s="10"/>
      <c r="E8" s="10"/>
      <c r="F8" s="10"/>
      <c r="G8" s="10"/>
      <c r="H8" s="27"/>
      <c r="I8" s="25"/>
    </row>
    <row r="9" spans="1:9" ht="14.25" thickTop="1" thickBot="1" x14ac:dyDescent="0.25">
      <c r="A9" s="26"/>
      <c r="B9" s="827" t="s">
        <v>708</v>
      </c>
      <c r="C9" s="828"/>
      <c r="D9" s="828"/>
      <c r="E9" s="829"/>
      <c r="G9" s="10"/>
      <c r="H9" s="10"/>
      <c r="I9" s="25"/>
    </row>
    <row r="10" spans="1:9" ht="13.5" thickTop="1" x14ac:dyDescent="0.2">
      <c r="A10" s="735" t="s">
        <v>24</v>
      </c>
      <c r="B10" s="824" t="s">
        <v>61</v>
      </c>
      <c r="C10" s="790"/>
      <c r="D10" s="790" t="s">
        <v>600</v>
      </c>
      <c r="E10" s="825"/>
      <c r="F10" s="700" t="s">
        <v>709</v>
      </c>
      <c r="G10" s="730" t="s">
        <v>601</v>
      </c>
      <c r="H10" s="724"/>
      <c r="I10" s="25"/>
    </row>
    <row r="11" spans="1:9" x14ac:dyDescent="0.2">
      <c r="A11" s="823"/>
      <c r="B11" s="698" t="s">
        <v>599</v>
      </c>
      <c r="C11" s="503" t="s">
        <v>62</v>
      </c>
      <c r="D11" s="142" t="s">
        <v>63</v>
      </c>
      <c r="E11" s="41" t="s">
        <v>74</v>
      </c>
      <c r="F11" s="699" t="s">
        <v>74</v>
      </c>
      <c r="G11" s="826" t="s">
        <v>63</v>
      </c>
      <c r="H11" s="820"/>
      <c r="I11" s="25"/>
    </row>
    <row r="12" spans="1:9" x14ac:dyDescent="0.2">
      <c r="A12" s="701" t="s">
        <v>173</v>
      </c>
      <c r="B12" s="705" t="s">
        <v>572</v>
      </c>
      <c r="C12" s="279" t="s">
        <v>706</v>
      </c>
      <c r="D12" s="548" t="str">
        <f>IF(E39="UDEN FOR OMRÅDET","NOT POSSIBLE",IF(F39="UDEN FOR OMRÅDET","NOT POSSIBLE",(0.0111*B6-0.1246)))</f>
        <v>NOT POSSIBLE</v>
      </c>
      <c r="E12" s="42" t="str">
        <f>IF(E39="UDEN FOR OMRÅDET","NOT POSSIBLE",IF($B$6&lt;66,14.6,((((-0.000003*B6^2+0.0097*B6+13.982))))))</f>
        <v>NOT POSSIBLE</v>
      </c>
      <c r="F12" s="694" t="str">
        <f>IF(E12="NOT POSSIBLE","NOT POSSIBLE",(E12+(((B$6/1000)/1.9)^2)*100))</f>
        <v>NOT POSSIBLE</v>
      </c>
      <c r="G12" s="830" t="str">
        <f>IF(D12="NOT POSSIBLE","NOT POSSIBLE",IF($B$7&gt;$B$6,"NOT POSSIBLE",($B$7/$B$6)))</f>
        <v>NOT POSSIBLE</v>
      </c>
      <c r="H12" s="818"/>
      <c r="I12" s="25"/>
    </row>
    <row r="13" spans="1:9" x14ac:dyDescent="0.2">
      <c r="A13" s="702" t="s">
        <v>592</v>
      </c>
      <c r="B13" s="706" t="s">
        <v>575</v>
      </c>
      <c r="C13" s="665" t="s">
        <v>705</v>
      </c>
      <c r="D13" s="662" t="str">
        <f>IF(E40="UDEN FOR OMRÅDET","NOT POSSIBLE",IF(F40="UDEN FOR OMRÅDET","NOT POSSIBLE",( 0.0031*B6-0.0739)))</f>
        <v>NOT POSSIBLE</v>
      </c>
      <c r="E13" s="707" t="str">
        <f>IF(E40="UDEN FOR OMRÅDET","NOT POSSIBLE",IF($B$6&lt;219,16,((((-0.000003*B6^2+0.0097*B6+13.982))))))</f>
        <v>NOT POSSIBLE</v>
      </c>
      <c r="F13" s="694" t="str">
        <f t="shared" ref="F13" si="0">IF(E13="NOT POSSIBLE","NOT POSSIBLE",(E13+(((B$6/1000)/1.9)^2)*100))</f>
        <v>NOT POSSIBLE</v>
      </c>
      <c r="G13" s="830" t="str">
        <f>IF(D13="NOT POSSIBLE","NOT POSSIBLE",IF($B$7&gt;$B$6,"NOT POSSIBLE",($B$7/$B$6)))</f>
        <v>NOT POSSIBLE</v>
      </c>
      <c r="H13" s="818"/>
      <c r="I13" s="25"/>
    </row>
    <row r="14" spans="1:9" x14ac:dyDescent="0.2">
      <c r="A14" s="703" t="s">
        <v>632</v>
      </c>
      <c r="B14" s="708" t="s">
        <v>635</v>
      </c>
      <c r="C14" s="691" t="s">
        <v>704</v>
      </c>
      <c r="D14" s="548">
        <f>IF(E41="UDEN FOR OMRÅDET","NOT POSSIBLE",IF(F41="UDEN FOR OMRÅDET","NOT POSSIBLE",(ROUND(0.000000000000738*B6^4-0.000000003305773*B6^3+0.000004764953804*B6^2-0.000101647006109*B6+0.281655010967834,1))))</f>
        <v>4</v>
      </c>
      <c r="E14" s="42">
        <f>IF(E41="UDEN FOR OMRÅDET","NOT POSSIBLE",IF($B$6&lt;219,16,((((-1.338352*D14^4+13.061298*D14^3-41.975654*D14^2+55.306489*D14-2.920448))))))</f>
        <v>40.000004000000068</v>
      </c>
      <c r="F14" s="694">
        <f>IF(E14="NOT POSSIBLE","NOT POSSIBLE",(E14+(((B$6/1000)/4.25)^2)*100))</f>
        <v>57.937720262975844</v>
      </c>
      <c r="G14" s="832">
        <f>IF(D14="NOT POSSIBLE","NOT POSSIBLE",IF($B$7&gt;$B$6,"NOT POSSIBLE",($B$7/$B$6)))</f>
        <v>0.1111111111111111</v>
      </c>
      <c r="H14" s="833"/>
      <c r="I14" s="25"/>
    </row>
    <row r="15" spans="1:9" ht="13.5" thickBot="1" x14ac:dyDescent="0.25">
      <c r="A15" s="704" t="s">
        <v>703</v>
      </c>
      <c r="B15" s="709" t="s">
        <v>590</v>
      </c>
      <c r="C15" s="692" t="s">
        <v>684</v>
      </c>
      <c r="D15" s="544">
        <f>IF(E42="UDEN FOR OMRÅDET","NOT POSSIBLE",IF(F40="UDEN FOR OMRÅDET","NOT POSSIBLE",( 0.00113*B6-0.077966)))</f>
        <v>1.9560339999999998</v>
      </c>
      <c r="E15" s="44">
        <f>IF(E42="UDEN FOR OMRÅDET","NOT POSSIBLE",IF($B$6&lt;219,16,((((0.1565*D15^3-0.4391*D15^2+0.7641*D15+16.949))))))</f>
        <v>17.934812324661578</v>
      </c>
      <c r="F15" s="695">
        <f>IF(E15="NOT POSSIBLE","NOT POSSIBLE",(E15+(((B$6/1000)/4.25)^2)*100))</f>
        <v>35.872528587637355</v>
      </c>
      <c r="G15" s="831">
        <f>IF(D15="NOT POSSIBLE","NOT POSSIBLE",IF($B$7&gt;$B$6,"NOT POSSIBLE",($B$7/$B$6)))</f>
        <v>0.1111111111111111</v>
      </c>
      <c r="H15" s="822"/>
      <c r="I15" s="25"/>
    </row>
    <row r="16" spans="1:9" ht="13.5" thickTop="1" x14ac:dyDescent="0.2">
      <c r="A16" s="26"/>
      <c r="B16" s="10"/>
      <c r="C16" s="10"/>
      <c r="D16" s="10"/>
      <c r="E16" s="10"/>
      <c r="F16" s="10"/>
      <c r="G16" s="10"/>
      <c r="H16" s="10"/>
      <c r="I16" s="25"/>
    </row>
    <row r="17" spans="1:13" x14ac:dyDescent="0.2">
      <c r="A17" s="26"/>
      <c r="B17" s="10"/>
      <c r="C17" s="10"/>
      <c r="D17" s="10"/>
      <c r="E17" s="36"/>
      <c r="F17" s="36"/>
      <c r="G17" s="10"/>
      <c r="H17" s="10"/>
      <c r="I17" s="25"/>
      <c r="M17" s="128"/>
    </row>
    <row r="18" spans="1:13" x14ac:dyDescent="0.2">
      <c r="A18" s="26"/>
      <c r="B18" s="10"/>
      <c r="C18" s="10"/>
      <c r="D18" s="10"/>
      <c r="E18" s="10"/>
      <c r="F18" s="10"/>
      <c r="G18" s="10"/>
      <c r="H18" s="10"/>
      <c r="I18" s="25"/>
    </row>
    <row r="19" spans="1:13" x14ac:dyDescent="0.2">
      <c r="A19" s="26"/>
      <c r="B19" s="10"/>
      <c r="C19" s="10"/>
      <c r="D19" s="10"/>
      <c r="E19" s="10"/>
      <c r="F19" s="10"/>
      <c r="G19" s="10"/>
      <c r="H19" s="10"/>
      <c r="I19" s="25"/>
    </row>
    <row r="20" spans="1:13" x14ac:dyDescent="0.2">
      <c r="A20" s="26"/>
      <c r="B20" s="10"/>
      <c r="C20" s="10"/>
      <c r="D20" s="10"/>
      <c r="E20" s="10"/>
      <c r="F20" s="10"/>
      <c r="G20" s="10"/>
      <c r="H20" s="10"/>
      <c r="I20" s="25"/>
    </row>
    <row r="21" spans="1:13" x14ac:dyDescent="0.2">
      <c r="A21" s="26"/>
      <c r="B21" s="10"/>
      <c r="C21" s="10"/>
      <c r="D21" s="10"/>
      <c r="E21" s="10"/>
      <c r="F21" s="10"/>
      <c r="G21" s="10"/>
      <c r="H21" s="10"/>
      <c r="I21" s="25"/>
    </row>
    <row r="22" spans="1:13" x14ac:dyDescent="0.2">
      <c r="A22" s="26"/>
      <c r="B22" s="10"/>
      <c r="C22" s="10"/>
      <c r="D22" s="10"/>
      <c r="E22" s="10"/>
      <c r="F22" s="10"/>
      <c r="G22" s="10"/>
      <c r="H22" s="10"/>
      <c r="I22" s="25"/>
    </row>
    <row r="23" spans="1:13" x14ac:dyDescent="0.2">
      <c r="A23" s="26"/>
      <c r="B23" s="10"/>
      <c r="C23" s="10"/>
      <c r="D23" s="10"/>
      <c r="E23" s="10"/>
      <c r="F23" s="10"/>
      <c r="G23" s="10"/>
      <c r="H23" s="10"/>
      <c r="I23" s="25"/>
    </row>
    <row r="24" spans="1:13" x14ac:dyDescent="0.2">
      <c r="A24" s="26"/>
      <c r="B24" s="10"/>
      <c r="C24" s="10"/>
      <c r="D24" s="10"/>
      <c r="E24" s="10"/>
      <c r="F24" s="10"/>
      <c r="G24" s="10"/>
      <c r="H24" s="10"/>
      <c r="I24" s="25"/>
    </row>
    <row r="25" spans="1:13" x14ac:dyDescent="0.2">
      <c r="A25" s="26"/>
      <c r="B25" s="10"/>
      <c r="C25" s="10"/>
      <c r="D25" s="10"/>
      <c r="E25" s="10"/>
      <c r="F25" s="10"/>
      <c r="G25" s="10"/>
      <c r="H25" s="10"/>
      <c r="I25" s="25"/>
    </row>
    <row r="26" spans="1:13" x14ac:dyDescent="0.2">
      <c r="A26" s="26"/>
      <c r="B26" s="10"/>
      <c r="C26" s="10"/>
      <c r="D26" s="10"/>
      <c r="E26" s="10"/>
      <c r="F26" s="10"/>
      <c r="G26" s="10"/>
      <c r="H26" s="10"/>
      <c r="I26" s="25"/>
    </row>
    <row r="27" spans="1:13" x14ac:dyDescent="0.2">
      <c r="A27" s="26"/>
      <c r="B27" s="10"/>
      <c r="C27" s="10"/>
      <c r="D27" s="10"/>
      <c r="E27" s="10"/>
      <c r="F27" s="10"/>
      <c r="G27" s="10"/>
      <c r="H27" s="10"/>
      <c r="I27" s="25"/>
    </row>
    <row r="28" spans="1:13" x14ac:dyDescent="0.2">
      <c r="A28" s="26"/>
      <c r="B28" s="10"/>
      <c r="C28" s="10"/>
      <c r="D28" s="10"/>
      <c r="E28" s="10"/>
      <c r="F28" s="10"/>
      <c r="G28" s="10"/>
      <c r="H28" s="10"/>
      <c r="I28" s="25"/>
    </row>
    <row r="29" spans="1:13" x14ac:dyDescent="0.2">
      <c r="A29" s="26"/>
      <c r="B29" s="10"/>
      <c r="C29" s="10"/>
      <c r="D29" s="10"/>
      <c r="E29" s="10"/>
      <c r="F29" s="10"/>
      <c r="G29" s="10"/>
      <c r="H29" s="10"/>
      <c r="I29" s="25"/>
    </row>
    <row r="30" spans="1:13" x14ac:dyDescent="0.2">
      <c r="A30" s="26"/>
      <c r="B30" s="10"/>
      <c r="C30" s="10"/>
      <c r="D30" s="10"/>
      <c r="E30" s="10"/>
      <c r="F30" s="10"/>
      <c r="G30" s="10"/>
      <c r="H30" s="10"/>
      <c r="I30" s="25"/>
    </row>
    <row r="31" spans="1:13" x14ac:dyDescent="0.2">
      <c r="A31" s="26"/>
      <c r="B31" s="10"/>
      <c r="C31" s="10"/>
      <c r="D31" s="10"/>
      <c r="E31" s="98"/>
      <c r="F31" s="98"/>
      <c r="G31" s="10"/>
      <c r="H31" s="10"/>
      <c r="I31" s="25"/>
    </row>
    <row r="32" spans="1:13" x14ac:dyDescent="0.2">
      <c r="A32" s="26"/>
      <c r="B32" s="10"/>
      <c r="C32" s="10"/>
      <c r="D32" s="10"/>
      <c r="E32" s="696"/>
      <c r="F32" s="696"/>
      <c r="G32" s="10"/>
      <c r="H32" s="10"/>
      <c r="I32" s="25"/>
    </row>
    <row r="33" spans="1:9" ht="13.5" thickBot="1" x14ac:dyDescent="0.25">
      <c r="A33" s="32" t="s">
        <v>178</v>
      </c>
      <c r="B33" s="34"/>
      <c r="C33" s="34"/>
      <c r="D33" s="33"/>
      <c r="E33" s="697"/>
      <c r="F33" s="697"/>
      <c r="G33" s="34"/>
      <c r="H33" s="34"/>
      <c r="I33" s="35"/>
    </row>
    <row r="34" spans="1:9" ht="13.5" thickTop="1" x14ac:dyDescent="0.2">
      <c r="D34" s="77"/>
    </row>
    <row r="35" spans="1:9" hidden="1" x14ac:dyDescent="0.2">
      <c r="D35" s="77"/>
    </row>
    <row r="36" spans="1:9" ht="26.25" hidden="1" x14ac:dyDescent="0.4">
      <c r="A36" s="712" t="s">
        <v>11</v>
      </c>
      <c r="B36" s="712"/>
      <c r="C36" s="712"/>
      <c r="D36" s="713"/>
      <c r="E36" s="713"/>
      <c r="F36" s="713"/>
      <c r="G36" s="713"/>
      <c r="H36" s="713"/>
      <c r="I36" s="713"/>
    </row>
    <row r="37" spans="1:9" ht="13.5" hidden="1" thickBot="1" x14ac:dyDescent="0.25"/>
    <row r="38" spans="1:9" ht="14.25" hidden="1" thickTop="1" thickBot="1" x14ac:dyDescent="0.25">
      <c r="A38" s="688" t="s">
        <v>0</v>
      </c>
      <c r="B38" s="12" t="s">
        <v>8</v>
      </c>
      <c r="C38" s="12" t="s">
        <v>4</v>
      </c>
      <c r="D38" s="12" t="s">
        <v>5</v>
      </c>
      <c r="E38" s="686" t="s">
        <v>6</v>
      </c>
      <c r="F38" s="687" t="s">
        <v>7</v>
      </c>
    </row>
    <row r="39" spans="1:9" ht="13.5" hidden="1" thickBot="1" x14ac:dyDescent="0.25">
      <c r="A39" s="553" t="s">
        <v>173</v>
      </c>
      <c r="B39" s="80">
        <v>0.9</v>
      </c>
      <c r="C39" s="45">
        <v>65</v>
      </c>
      <c r="D39" s="1">
        <v>370</v>
      </c>
      <c r="E39" s="690" t="str">
        <f>IF($B$6&lt;=C39-1,"UDEN FOR OMRÅDET",IF($B$6&gt;=D39+1,"UDEN FOR OMRÅDET",$B$6))</f>
        <v>UDEN FOR OMRÅDET</v>
      </c>
      <c r="F39" s="16">
        <v>600</v>
      </c>
    </row>
    <row r="40" spans="1:9" ht="13.5" hidden="1" thickBot="1" x14ac:dyDescent="0.25">
      <c r="A40" s="553" t="s">
        <v>592</v>
      </c>
      <c r="B40" s="84">
        <v>2.7</v>
      </c>
      <c r="C40" s="690">
        <v>220</v>
      </c>
      <c r="D40" s="690">
        <v>1330</v>
      </c>
      <c r="E40" s="690" t="str">
        <f>IF($B$6&lt;=C40-1,"UDEN FOR OMRÅDET",IF($B$6&gt;=D40+1,"UDEN FOR OMRÅDET",$B$6))</f>
        <v>UDEN FOR OMRÅDET</v>
      </c>
      <c r="F40" s="16">
        <v>600</v>
      </c>
    </row>
    <row r="41" spans="1:9" ht="13.5" hidden="1" thickBot="1" x14ac:dyDescent="0.25">
      <c r="A41" s="553" t="s">
        <v>707</v>
      </c>
      <c r="B41" s="84">
        <v>2.9</v>
      </c>
      <c r="C41" s="690">
        <v>300</v>
      </c>
      <c r="D41" s="690">
        <v>1800</v>
      </c>
      <c r="E41" s="690">
        <f>IF($B$6&lt;=C41-1,"UDEN FOR OMRÅDET",IF($B$6&gt;=D41+1,"UDEN FOR OMRÅDET",$B$6))</f>
        <v>1800</v>
      </c>
      <c r="F41" s="16">
        <v>600</v>
      </c>
    </row>
    <row r="42" spans="1:9" hidden="1" x14ac:dyDescent="0.2">
      <c r="A42" s="553" t="s">
        <v>49</v>
      </c>
      <c r="B42" s="84">
        <v>7.5</v>
      </c>
      <c r="C42" s="690">
        <v>600</v>
      </c>
      <c r="D42" s="690">
        <v>3609</v>
      </c>
      <c r="E42" s="690">
        <f>IF($B$6&lt;=C42-1,"UDEN FOR OMRÅDET",IF($B$6&gt;=D42+1,"UDEN FOR OMRÅDET",$B$6))</f>
        <v>1800</v>
      </c>
      <c r="F42" s="16">
        <v>800</v>
      </c>
    </row>
    <row r="43" spans="1:9" hidden="1" x14ac:dyDescent="0.2"/>
  </sheetData>
  <sheetProtection sheet="1" objects="1" scenarios="1"/>
  <mergeCells count="13">
    <mergeCell ref="G12:H12"/>
    <mergeCell ref="G13:H13"/>
    <mergeCell ref="G15:H15"/>
    <mergeCell ref="A36:I36"/>
    <mergeCell ref="G14:H14"/>
    <mergeCell ref="A1:I1"/>
    <mergeCell ref="A2:I2"/>
    <mergeCell ref="A10:A11"/>
    <mergeCell ref="B10:C10"/>
    <mergeCell ref="D10:E10"/>
    <mergeCell ref="G10:H10"/>
    <mergeCell ref="G11:H11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showGridLines="0" zoomScaleNormal="100" workbookViewId="0">
      <selection activeCell="D60" sqref="D60"/>
    </sheetView>
  </sheetViews>
  <sheetFormatPr defaultColWidth="8.85546875" defaultRowHeight="12.75" x14ac:dyDescent="0.2"/>
  <cols>
    <col min="1" max="1" width="24.7109375" customWidth="1"/>
    <col min="2" max="2" width="14.28515625" customWidth="1"/>
    <col min="3" max="3" width="15.7109375" customWidth="1"/>
    <col min="4" max="4" width="16.42578125" customWidth="1"/>
    <col min="5" max="5" width="15.7109375" hidden="1" customWidth="1"/>
    <col min="6" max="6" width="15.7109375" customWidth="1"/>
    <col min="7" max="10" width="10.7109375" customWidth="1"/>
    <col min="11" max="11" width="20.42578125" customWidth="1"/>
    <col min="15" max="16" width="20.28515625" bestFit="1" customWidth="1"/>
  </cols>
  <sheetData>
    <row r="1" spans="1:12" ht="21" thickTop="1" x14ac:dyDescent="0.3">
      <c r="A1" s="719" t="s">
        <v>624</v>
      </c>
      <c r="B1" s="720"/>
      <c r="C1" s="720"/>
      <c r="D1" s="720"/>
      <c r="E1" s="720"/>
      <c r="F1" s="720"/>
      <c r="G1" s="720"/>
      <c r="H1" s="720"/>
      <c r="I1" s="720"/>
      <c r="J1" s="720"/>
      <c r="K1" s="721"/>
      <c r="L1" s="6"/>
    </row>
    <row r="2" spans="1:12" ht="21" thickBot="1" x14ac:dyDescent="0.35">
      <c r="A2" s="725" t="s">
        <v>625</v>
      </c>
      <c r="B2" s="726"/>
      <c r="C2" s="726"/>
      <c r="D2" s="726"/>
      <c r="E2" s="726"/>
      <c r="F2" s="726"/>
      <c r="G2" s="726"/>
      <c r="H2" s="726"/>
      <c r="I2" s="726"/>
      <c r="J2" s="726"/>
      <c r="K2" s="727"/>
      <c r="L2" s="6"/>
    </row>
    <row r="3" spans="1:12" ht="13.5" thickTop="1" x14ac:dyDescent="0.2">
      <c r="A3" s="22"/>
      <c r="B3" s="62"/>
      <c r="C3" s="62"/>
      <c r="D3" s="23"/>
      <c r="E3" s="23"/>
      <c r="F3" s="23"/>
      <c r="G3" s="23"/>
      <c r="H3" s="23"/>
      <c r="I3" s="23"/>
      <c r="J3" s="23"/>
      <c r="K3" s="24"/>
    </row>
    <row r="4" spans="1:12" ht="13.5" thickBot="1" x14ac:dyDescent="0.25">
      <c r="A4" s="26"/>
      <c r="B4" s="598"/>
      <c r="C4" s="10"/>
      <c r="D4" s="36"/>
      <c r="E4" s="10"/>
      <c r="F4" s="10"/>
      <c r="G4" s="10"/>
      <c r="H4" s="10"/>
      <c r="I4" s="10"/>
      <c r="J4" s="10"/>
      <c r="K4" s="25"/>
    </row>
    <row r="5" spans="1:12" ht="13.5" hidden="1" thickBot="1" x14ac:dyDescent="0.25">
      <c r="A5" s="37" t="s">
        <v>68</v>
      </c>
      <c r="B5" s="38">
        <v>20</v>
      </c>
      <c r="C5" s="28" t="s">
        <v>69</v>
      </c>
      <c r="D5" s="10"/>
      <c r="E5" s="10"/>
      <c r="F5" s="10"/>
      <c r="G5" s="10"/>
      <c r="H5" s="10"/>
      <c r="I5" s="10"/>
      <c r="J5" s="10"/>
      <c r="K5" s="25"/>
    </row>
    <row r="6" spans="1:12" ht="13.5" thickBot="1" x14ac:dyDescent="0.25">
      <c r="A6" s="37" t="s">
        <v>70</v>
      </c>
      <c r="B6" s="536">
        <v>1500</v>
      </c>
      <c r="C6" s="28" t="s">
        <v>71</v>
      </c>
      <c r="D6" s="27"/>
      <c r="E6" s="10"/>
      <c r="F6" s="10"/>
      <c r="G6" s="10"/>
      <c r="H6" s="27"/>
      <c r="I6" s="10"/>
      <c r="J6" s="10"/>
      <c r="K6" s="25"/>
    </row>
    <row r="7" spans="1:12" x14ac:dyDescent="0.2">
      <c r="A7" s="26"/>
      <c r="B7" s="10"/>
      <c r="C7" s="10"/>
      <c r="D7" s="10"/>
      <c r="E7" s="10"/>
      <c r="F7" s="10"/>
      <c r="G7" s="10"/>
      <c r="H7" s="27"/>
      <c r="I7" s="10"/>
      <c r="J7" s="10"/>
      <c r="K7" s="25"/>
    </row>
    <row r="8" spans="1:12" ht="13.5" thickBot="1" x14ac:dyDescent="0.25">
      <c r="A8" s="26"/>
      <c r="B8" s="10"/>
      <c r="C8" s="10"/>
      <c r="D8" s="10"/>
      <c r="E8" s="29"/>
      <c r="F8" s="10"/>
      <c r="G8" s="10"/>
      <c r="H8" s="10"/>
      <c r="I8" s="10"/>
      <c r="J8" s="10"/>
      <c r="K8" s="25"/>
    </row>
    <row r="9" spans="1:12" ht="13.5" thickTop="1" x14ac:dyDescent="0.2">
      <c r="A9" s="722" t="s">
        <v>24</v>
      </c>
      <c r="B9" s="718" t="s">
        <v>61</v>
      </c>
      <c r="C9" s="718"/>
      <c r="D9" s="718" t="s">
        <v>72</v>
      </c>
      <c r="E9" s="718"/>
      <c r="F9" s="724"/>
      <c r="G9" s="10"/>
      <c r="H9" s="10"/>
      <c r="I9" s="10"/>
      <c r="J9" s="10"/>
      <c r="K9" s="25"/>
    </row>
    <row r="10" spans="1:12" x14ac:dyDescent="0.2">
      <c r="A10" s="723"/>
      <c r="B10" s="503" t="s">
        <v>55</v>
      </c>
      <c r="C10" s="503" t="s">
        <v>62</v>
      </c>
      <c r="D10" s="142" t="s">
        <v>63</v>
      </c>
      <c r="E10" s="97" t="s">
        <v>73</v>
      </c>
      <c r="F10" s="41" t="s">
        <v>74</v>
      </c>
      <c r="G10" s="10"/>
      <c r="H10" s="10"/>
      <c r="I10" s="10"/>
      <c r="J10" s="10"/>
      <c r="K10" s="25"/>
    </row>
    <row r="11" spans="1:12" x14ac:dyDescent="0.2">
      <c r="A11" s="579" t="s">
        <v>627</v>
      </c>
      <c r="B11" s="568" t="s">
        <v>621</v>
      </c>
      <c r="C11" s="568" t="s">
        <v>604</v>
      </c>
      <c r="D11" s="548" t="str">
        <f>IF(J40="UDEN FOR OMRÅDET","NOT POSSIBLE",IF(K40="UDEN FOR OMRÅDET","NOT POSSIBLE",(0.000000000005542*B6^4-0.000000011024963*B6^3+0.000008062366517*B6^2+0.001574675994768*B6+0.437597137192088)))</f>
        <v>NOT POSSIBLE</v>
      </c>
      <c r="E11" s="40" t="e">
        <f>-0.0001914848*D11^5+0.0053285439*D11^4-0.054883786*D11^3+0.2534175671*D11^2-0.2481945056*D11+0.1333828468</f>
        <v>#VALUE!</v>
      </c>
      <c r="F11" s="42" t="str">
        <f>IF(J40="UDEN FOR OMRÅDET","NOT POSSIBLE",IF(B6&lt;40,10,((((0.1322*D11^2+0.2648*D11+9.8241))))))</f>
        <v>NOT POSSIBLE</v>
      </c>
      <c r="G11" s="10"/>
      <c r="H11" s="10"/>
      <c r="I11" s="10"/>
      <c r="J11" s="10"/>
      <c r="K11" s="25"/>
    </row>
    <row r="12" spans="1:12" x14ac:dyDescent="0.2">
      <c r="A12" s="580" t="s">
        <v>628</v>
      </c>
      <c r="B12" s="279" t="s">
        <v>613</v>
      </c>
      <c r="C12" s="279" t="s">
        <v>93</v>
      </c>
      <c r="D12" s="548" t="str">
        <f>IF(J41="UDEN FOR OMRÅDET","NOT POSSIBLE",IF(K41="UDEN FOR OMRÅDET","NOT POSSIBLE",(ROUND(0.000000000004935*B6^4-0.000000011338095*B6^3+0.000009011774864*B6^2+0.000523712911518*B6+0.458015907559471,1))))</f>
        <v>NOT POSSIBLE</v>
      </c>
      <c r="E12" s="40" t="e">
        <f>-0.0001313737*D12^5+0.0033025825*D12^4-0.030488192*D12^3+0.130530682*D12^2-0.0056293818*D12+0.0026799239</f>
        <v>#VALUE!</v>
      </c>
      <c r="F12" s="42" t="str">
        <f>IF(J41="UDEN FOR OMRÅDET","NOT POSSIBLE",IF(B6&lt;60,14,((((0.2956*D12^2-0.4757*D12+14.17))))))</f>
        <v>NOT POSSIBLE</v>
      </c>
      <c r="G12" s="10"/>
      <c r="H12" s="10"/>
      <c r="I12" s="10"/>
      <c r="J12" s="10"/>
      <c r="K12" s="25"/>
    </row>
    <row r="13" spans="1:12" x14ac:dyDescent="0.2">
      <c r="A13" s="579" t="s">
        <v>629</v>
      </c>
      <c r="B13" s="568" t="s">
        <v>622</v>
      </c>
      <c r="C13" s="568" t="s">
        <v>626</v>
      </c>
      <c r="D13" s="548">
        <f>IF(J42="UDEN FOR OMRÅDET","NOT POSSIBLE",IF(K42="UDEN FOR OMRÅDET","NOT POSSIBLE",IF(B6&lt;1465,(1.43958726E-12*B6^4-4.05602367413E-09*B6^3+0.0000042670132068909*B6^2-0.000061224426617176*B6+0.509465618579983),(2.758949268903E-08*B6^4-0.000165382498714462*B6^3+0.371749749406838*B6^2-371.370189738866*B6+139116.043827614))))</f>
        <v>3.5689616057206877</v>
      </c>
      <c r="E13" s="652">
        <f>-0.0002922512*D13^5+0.0079441211*D13^4-0.081093891*D13^3+0.3716534766*D13^2-0.315676037*D13+0.1555909698</f>
        <v>1.1960477664842428</v>
      </c>
      <c r="F13" s="42">
        <f>IF(J42="UDEN FOR OMRÅDET","NOT POSSIBLE",IF(B6&lt;86,9,((((0.5565*D13^2-0.7865*D13+9.2446))))))</f>
        <v>13.526023180940497</v>
      </c>
      <c r="G13" s="10"/>
      <c r="H13" s="10"/>
      <c r="I13" s="10"/>
      <c r="J13" s="10"/>
      <c r="K13" s="25"/>
    </row>
    <row r="14" spans="1:12" x14ac:dyDescent="0.2">
      <c r="A14" s="580" t="s">
        <v>630</v>
      </c>
      <c r="B14" s="279" t="s">
        <v>614</v>
      </c>
      <c r="C14" s="279" t="s">
        <v>80</v>
      </c>
      <c r="D14" s="548">
        <f>IF(J43="UDEN FOR OMRÅDET","NOT POSSIBLE",IF(K43="UDEN FOR OMRÅDET","NOT POSSIBLE",(ROUND(2.8068E-16*B6^5-1.30894961E-12*B6^4+2.26233522011E-09*B6^3-1.24113081172312E-06*B6^2+0.00135922155812669*B6+0.36672369992407,1))))</f>
        <v>2.8</v>
      </c>
      <c r="E14" s="40">
        <f>-0.0002702024*D14^5+0.0070152744*D14^4-0.0684282308*D14^3+0.303994227*D14^2-0.158105984*D14+0.1037020483</f>
        <v>0.9268787330342082</v>
      </c>
      <c r="F14" s="42">
        <f>IF(J43="UDEN FOR OMRÅDET","NOT POSSIBLE",IF(B6&lt;1150,16,((((1.3*D14^2-3.3*D14+17.4))))))</f>
        <v>18.351999999999997</v>
      </c>
      <c r="G14" s="10"/>
      <c r="H14" s="10"/>
      <c r="I14" s="10"/>
      <c r="J14" s="10"/>
      <c r="K14" s="25"/>
    </row>
    <row r="15" spans="1:12" x14ac:dyDescent="0.2">
      <c r="A15" s="586" t="s">
        <v>638</v>
      </c>
      <c r="B15" s="587" t="s">
        <v>710</v>
      </c>
      <c r="C15" s="587" t="s">
        <v>604</v>
      </c>
      <c r="D15" s="548">
        <f>IF(J44="UDEN FOR OMRÅDET","NOT POSSIBLE",IF(K44="UDEN FOR OMRÅDET","NOT POSSIBLE",(ROUND(3.577666E-19*B6^6-2.0108634327E-15*B6^5+4.5155824969614E-12*B6^4-5.14850949044569E-09*B6^3+3.06014542707752E-06*B6^2+0.000866072655118996*B6+0.398843987528968,1))))</f>
        <v>2.9</v>
      </c>
      <c r="E15" s="40"/>
      <c r="F15" s="42">
        <f>IF(J44="UDEN FOR OMRÅDET","NOT POSSIBLE",IF(B6&lt;975,10.2,((((-2*D15^2+18.6*D15-16.4))))))</f>
        <v>20.720000000000006</v>
      </c>
      <c r="G15" s="10"/>
      <c r="H15" s="10"/>
      <c r="I15" s="10"/>
      <c r="J15" s="10"/>
      <c r="K15" s="25"/>
    </row>
    <row r="16" spans="1:12" x14ac:dyDescent="0.2">
      <c r="A16" s="580" t="s">
        <v>639</v>
      </c>
      <c r="B16" s="279" t="s">
        <v>640</v>
      </c>
      <c r="C16" s="279" t="s">
        <v>93</v>
      </c>
      <c r="D16" s="548">
        <f>IF(J45="UDEN FOR OMRÅDET","NOT POSSIBLE",IF(K45="UDEN FOR OMRÅDET","NOT POSSIBLE",(ROUND(1.6084E-16*B6^5-7.8792682E-13*B6^4+1.22444138078E-09*B6^3-5.1797692941027E-07*B6^2+0.00125732825340572*B6+0.327414644949624,1)
)))</f>
        <v>2.4</v>
      </c>
      <c r="E16" s="40">
        <f>-0.0001720525*D16^5+0.0050695668*D16^4-0.0602406174*D16^3+0.3152398884*D16^2-0.0451710556*D16+0.0404546674</f>
        <v>1.0695557620124798</v>
      </c>
      <c r="F16" s="42">
        <f>IF(J45="UDEN FOR OMRÅDET","NOT POSSIBLE",IF(B6&lt;550,14,((((-0.299047619*D16^4+2.8238095238*D16^3-6.6666666667*D16^2+5.819047619*D16+12.4228571429))))))</f>
        <v>17.1032320011848</v>
      </c>
      <c r="G16" s="10"/>
      <c r="H16" s="10"/>
      <c r="I16" s="10"/>
      <c r="J16" s="10"/>
      <c r="K16" s="25"/>
    </row>
    <row r="17" spans="1:11" x14ac:dyDescent="0.2">
      <c r="A17" s="586" t="s">
        <v>712</v>
      </c>
      <c r="B17" s="587" t="s">
        <v>648</v>
      </c>
      <c r="C17" s="587" t="s">
        <v>99</v>
      </c>
      <c r="D17" s="548">
        <f>IF(J46="UDEN FOR OMRÅDET","NOT POSSIBLE",IF(K46="UDEN FOR OMRÅDET","NOT POSSIBLE",(0.0000000000000000485*B6^5-0.000000000000173929*B6^4+2.1806023467E-10*B6^3+5.857120184228E-08*B6^2+0.00159001465864468*B6+0.259046204559444)))</f>
        <v>2.9995880011828446</v>
      </c>
      <c r="E17" s="40">
        <f>-0.0001720525*D17^5+0.0050695668*D17^4-0.0602406174*D17^3+0.3152398884*D17^2-0.0451710556*D17+0.0404546674</f>
        <v>1.4841425679247082</v>
      </c>
      <c r="F17" s="42">
        <f>IF(J46="UDEN FOR OMRÅDET","NOT POSSIBLE",IF(B6&lt;150,10,((((0.1321966693*D17^2+0.2648295004*D17+9.8240681998))))))</f>
        <v>11.807890848470247</v>
      </c>
      <c r="G17" s="10"/>
      <c r="H17" s="10"/>
      <c r="I17" s="10"/>
      <c r="J17" s="10"/>
      <c r="K17" s="25"/>
    </row>
    <row r="18" spans="1:11" x14ac:dyDescent="0.2">
      <c r="A18" s="547" t="s">
        <v>91</v>
      </c>
      <c r="B18" s="279" t="s">
        <v>623</v>
      </c>
      <c r="C18" s="279" t="s">
        <v>96</v>
      </c>
      <c r="D18" s="548">
        <f>IF(J47="UDEN FOR OMRÅDET","NOT POSSIBLE",IF(K47="UDEN FOR OMRÅDET","NOT POSSIBLE",(-0.0000000000000007646*B6^4+8.66167203E-12*B6^3-1.368304333946E-08*B6^2+0.000674608449084757*B6+0.365102207453672)))</f>
        <v>1.3715903891682724</v>
      </c>
      <c r="E18" s="40">
        <f xml:space="preserve"> -0.0002207819*D18^5+0.0048575488*D18^4-0.042801013*D18^3+0.1612668541*D18^2+0.9429656517*D18-0.4890993807</f>
        <v>1.0133277307201527</v>
      </c>
      <c r="F18" s="42">
        <f>IF(J47="UDEN FOR OMRÅDET","NOT POSSIBLE",IF(B6&lt;200,15,((((0.2852498017*D18^2+0.4377874703*D18+14.6948850119))))))</f>
        <v>15.831979196419539</v>
      </c>
      <c r="G18" s="10"/>
      <c r="H18" s="10"/>
      <c r="I18" s="10"/>
      <c r="J18" s="10"/>
      <c r="K18" s="25"/>
    </row>
    <row r="19" spans="1:11" x14ac:dyDescent="0.2">
      <c r="A19" s="586" t="s">
        <v>94</v>
      </c>
      <c r="B19" s="587" t="s">
        <v>615</v>
      </c>
      <c r="C19" s="587" t="s">
        <v>604</v>
      </c>
      <c r="D19" s="548">
        <f>IF(J48="UDEN FOR OMRÅDET","NOT POSSIBLE",IF(K48="UDEN FOR OMRÅDET","NOT POSSIBLE",(5.9873E-16*B6^4-0.0000000000095790398*B6^3+3.922038370896E-08*B6^2+0.0005179824896256*B6+0.107933010658806)))</f>
        <v>0.94385441974236606</v>
      </c>
      <c r="E19" s="40">
        <f>-0.0012675993*D19^5+0.0341544632*D19^4-0.344969967*D19^3+1.5414329114*D19^2-1.1127621642*D19+0.3349824205</f>
        <v>0.39399058994099073</v>
      </c>
      <c r="F19" s="42">
        <f>IF(J48="UDEN FOR OMRÅDET","NOT POSSIBLE",IF(B6&lt;3350,10,((((0.95*D19^2-2.25*D19+10.8))))))</f>
        <v>10</v>
      </c>
      <c r="G19" s="10"/>
      <c r="H19" s="10"/>
      <c r="I19" s="10"/>
      <c r="J19" s="10"/>
      <c r="K19" s="25"/>
    </row>
    <row r="20" spans="1:11" ht="13.5" thickBot="1" x14ac:dyDescent="0.25">
      <c r="A20" s="550" t="s">
        <v>97</v>
      </c>
      <c r="B20" s="551" t="s">
        <v>616</v>
      </c>
      <c r="C20" s="551" t="s">
        <v>604</v>
      </c>
      <c r="D20" s="544">
        <f>IF(J49="UDEN FOR OMRÅDET","NOT POSSIBLE",IF(K49="UDEN FOR OMRÅDET","NOT POSSIBLE",(ROUND(-0.00000000000000007*B6^4+0.00000000000118072*B6^3-0.00000001872155789*B6^2+0.00052869856838356*B6+0.0496570952659024,1))))</f>
        <v>0.8</v>
      </c>
      <c r="E20" s="43">
        <f>-0.000196373*D20^5+0.0050851175*D20^4-0.0540651414*D20^3+0.1694730368*D20^2+2.4082032907*D20-1.4693911114</f>
        <v>0.53997142893855998</v>
      </c>
      <c r="F20" s="44">
        <f>IF(J49="UDEN FOR OMRÅDET","NOT POSSIBLE",IF(B6&lt;4200,10,((((-0.1914*D20^4+1.831*D20^3-4*D20^2+3.1548*D20+9.2057))))))</f>
        <v>10</v>
      </c>
      <c r="G20" s="10"/>
      <c r="H20" s="10"/>
      <c r="I20" s="10"/>
      <c r="J20" s="10"/>
      <c r="K20" s="25"/>
    </row>
    <row r="21" spans="1:11" ht="13.5" thickTop="1" x14ac:dyDescent="0.2">
      <c r="A21" s="26"/>
      <c r="B21" s="10"/>
      <c r="C21" s="10"/>
      <c r="D21" s="10"/>
      <c r="E21" s="30"/>
      <c r="F21" s="10"/>
      <c r="G21" s="10"/>
      <c r="H21" s="10"/>
      <c r="I21" s="10"/>
      <c r="J21" s="10"/>
      <c r="K21" s="25"/>
    </row>
    <row r="22" spans="1:11" x14ac:dyDescent="0.2">
      <c r="A22" s="26"/>
      <c r="B22" s="10"/>
      <c r="C22" s="10"/>
      <c r="D22" s="10"/>
      <c r="E22" s="36"/>
      <c r="F22" s="36"/>
      <c r="G22" s="10"/>
      <c r="H22" s="10"/>
      <c r="I22" s="10"/>
      <c r="J22" s="10"/>
      <c r="K22" s="25"/>
    </row>
    <row r="23" spans="1:11" x14ac:dyDescent="0.2">
      <c r="A23" s="26"/>
      <c r="B23" s="10"/>
      <c r="C23" s="10"/>
      <c r="D23" s="10"/>
      <c r="E23" s="599"/>
      <c r="F23" s="10"/>
      <c r="G23" s="10"/>
      <c r="H23" s="10"/>
      <c r="I23" s="10"/>
      <c r="J23" s="10"/>
      <c r="K23" s="25"/>
    </row>
    <row r="24" spans="1:11" x14ac:dyDescent="0.2">
      <c r="A24" s="26"/>
      <c r="B24" s="10"/>
      <c r="C24" s="10"/>
      <c r="D24" s="10"/>
      <c r="E24" s="76"/>
      <c r="F24" s="10"/>
      <c r="G24" s="10"/>
      <c r="H24" s="10"/>
      <c r="I24" s="10"/>
      <c r="J24" s="10"/>
      <c r="K24" s="25"/>
    </row>
    <row r="25" spans="1:11" x14ac:dyDescent="0.2">
      <c r="A25" s="26"/>
      <c r="B25" s="10"/>
      <c r="C25" s="10"/>
      <c r="D25" s="10"/>
      <c r="E25" s="76"/>
      <c r="F25" s="10"/>
      <c r="G25" s="10"/>
      <c r="H25" s="10"/>
      <c r="I25" s="10"/>
      <c r="J25" s="10"/>
      <c r="K25" s="25"/>
    </row>
    <row r="26" spans="1:11" x14ac:dyDescent="0.2">
      <c r="A26" s="26"/>
      <c r="B26" s="10"/>
      <c r="C26" s="10"/>
      <c r="D26" s="10"/>
      <c r="E26" s="76"/>
      <c r="F26" s="10"/>
      <c r="G26" s="10"/>
      <c r="H26" s="10"/>
      <c r="I26" s="10"/>
      <c r="J26" s="10"/>
      <c r="K26" s="25"/>
    </row>
    <row r="27" spans="1:11" x14ac:dyDescent="0.2">
      <c r="A27" s="26"/>
      <c r="B27" s="10"/>
      <c r="C27" s="10"/>
      <c r="D27" s="10"/>
      <c r="E27" s="76"/>
      <c r="F27" s="10"/>
      <c r="G27" s="10"/>
      <c r="H27" s="10"/>
      <c r="I27" s="10"/>
      <c r="J27" s="10"/>
      <c r="K27" s="25"/>
    </row>
    <row r="28" spans="1:11" x14ac:dyDescent="0.2">
      <c r="A28" s="26"/>
      <c r="B28" s="10"/>
      <c r="C28" s="10"/>
      <c r="D28" s="10"/>
      <c r="E28" s="76"/>
      <c r="F28" s="10"/>
      <c r="G28" s="10"/>
      <c r="H28" s="10"/>
      <c r="I28" s="10"/>
      <c r="J28" s="10"/>
      <c r="K28" s="25"/>
    </row>
    <row r="29" spans="1:11" x14ac:dyDescent="0.2">
      <c r="A29" s="26"/>
      <c r="B29" s="10"/>
      <c r="C29" s="10"/>
      <c r="D29" s="10"/>
      <c r="E29" s="76"/>
      <c r="F29" s="10"/>
      <c r="G29" s="10"/>
      <c r="H29" s="10"/>
      <c r="I29" s="10"/>
      <c r="J29" s="10"/>
      <c r="K29" s="25"/>
    </row>
    <row r="30" spans="1:11" x14ac:dyDescent="0.2">
      <c r="A30" s="26"/>
      <c r="B30" s="10"/>
      <c r="C30" s="10"/>
      <c r="D30" s="10"/>
      <c r="E30" s="76"/>
      <c r="F30" s="10"/>
      <c r="G30" s="10"/>
      <c r="H30" s="10"/>
      <c r="I30" s="10"/>
      <c r="J30" s="10"/>
      <c r="K30" s="25"/>
    </row>
    <row r="31" spans="1:11" x14ac:dyDescent="0.2">
      <c r="A31" s="26"/>
      <c r="B31" s="10"/>
      <c r="C31" s="10"/>
      <c r="D31" s="10"/>
      <c r="E31" s="76"/>
      <c r="F31" s="10"/>
      <c r="G31" s="10"/>
      <c r="H31" s="10"/>
      <c r="I31" s="10"/>
      <c r="J31" s="10"/>
      <c r="K31" s="25"/>
    </row>
    <row r="32" spans="1:11" x14ac:dyDescent="0.2">
      <c r="A32" s="26"/>
      <c r="B32" s="10"/>
      <c r="C32" s="10"/>
      <c r="D32" s="10"/>
      <c r="E32" s="76"/>
      <c r="F32" s="10"/>
      <c r="G32" s="10"/>
      <c r="H32" s="10"/>
      <c r="I32" s="10"/>
      <c r="J32" s="10"/>
      <c r="K32" s="25"/>
    </row>
    <row r="33" spans="1:16" x14ac:dyDescent="0.2">
      <c r="A33" s="26"/>
      <c r="B33" s="10"/>
      <c r="C33" s="10"/>
      <c r="D33" s="10"/>
      <c r="E33" s="10"/>
      <c r="F33" s="31"/>
      <c r="G33" s="10"/>
      <c r="H33" s="10"/>
      <c r="I33" s="10"/>
      <c r="J33" s="10"/>
      <c r="K33" s="25"/>
    </row>
    <row r="34" spans="1:16" ht="13.5" thickBot="1" x14ac:dyDescent="0.25">
      <c r="A34" s="32" t="s">
        <v>65</v>
      </c>
      <c r="B34" s="34"/>
      <c r="C34" s="34"/>
      <c r="D34" s="33"/>
      <c r="E34" s="33"/>
      <c r="F34" s="34"/>
      <c r="G34" s="34"/>
      <c r="H34" s="34"/>
      <c r="I34" s="34"/>
      <c r="J34" s="34"/>
      <c r="K34" s="35"/>
    </row>
    <row r="35" spans="1:16" ht="10.5" customHeight="1" thickTop="1" x14ac:dyDescent="0.2">
      <c r="D35" s="77"/>
      <c r="E35" s="77"/>
    </row>
    <row r="36" spans="1:16" hidden="1" x14ac:dyDescent="0.2">
      <c r="D36" s="77"/>
      <c r="E36" s="77"/>
    </row>
    <row r="37" spans="1:16" s="4" customFormat="1" ht="31.5" hidden="1" customHeight="1" x14ac:dyDescent="0.4">
      <c r="A37" s="712" t="s">
        <v>11</v>
      </c>
      <c r="B37" s="712"/>
      <c r="C37" s="712"/>
      <c r="D37" s="713"/>
      <c r="E37" s="713"/>
      <c r="F37" s="713"/>
      <c r="G37" s="713"/>
      <c r="H37" s="713"/>
      <c r="I37" s="713"/>
      <c r="J37" s="713"/>
      <c r="K37" s="713"/>
      <c r="L37" s="7"/>
      <c r="M37" s="5"/>
      <c r="N37" s="5"/>
      <c r="O37" s="5"/>
      <c r="P37" s="5"/>
    </row>
    <row r="38" spans="1:16" ht="13.5" hidden="1" thickBot="1" x14ac:dyDescent="0.25"/>
    <row r="39" spans="1:16" ht="13.5" hidden="1" thickTop="1" x14ac:dyDescent="0.2">
      <c r="A39" s="595" t="s">
        <v>0</v>
      </c>
      <c r="B39" s="64"/>
      <c r="C39" s="64"/>
      <c r="D39" s="12" t="s">
        <v>1</v>
      </c>
      <c r="E39" s="12" t="s">
        <v>2</v>
      </c>
      <c r="F39" s="12" t="s">
        <v>3</v>
      </c>
      <c r="G39" s="12" t="s">
        <v>8</v>
      </c>
      <c r="H39" s="12" t="s">
        <v>4</v>
      </c>
      <c r="I39" s="12" t="s">
        <v>5</v>
      </c>
      <c r="J39" s="593" t="s">
        <v>6</v>
      </c>
      <c r="K39" s="594" t="s">
        <v>7</v>
      </c>
    </row>
    <row r="40" spans="1:16" hidden="1" x14ac:dyDescent="0.2">
      <c r="A40" s="15" t="s">
        <v>103</v>
      </c>
      <c r="B40" s="65"/>
      <c r="C40" s="65"/>
      <c r="D40" s="8"/>
      <c r="E40" s="78"/>
      <c r="F40" s="79"/>
      <c r="G40" s="80">
        <v>2.6</v>
      </c>
      <c r="H40" s="45">
        <v>40</v>
      </c>
      <c r="I40" s="1">
        <v>900</v>
      </c>
      <c r="J40" s="596" t="str">
        <f t="shared" ref="J40:J49" si="0">IF($B$6&lt;=H40-1,"UDEN FOR OMRÅDET",IF($B$6&gt;=I40+1,"UDEN FOR OMRÅDET",$B$6))</f>
        <v>UDEN FOR OMRÅDET</v>
      </c>
      <c r="K40" s="16">
        <f>IF($B$5&lt;=7,"UDEN FOR OMRÅDET",IF($B$5&gt;=401,"UDEN FOR OMRÅDET",$B$5))</f>
        <v>20</v>
      </c>
    </row>
    <row r="41" spans="1:16" hidden="1" x14ac:dyDescent="0.2">
      <c r="A41" s="15" t="s">
        <v>105</v>
      </c>
      <c r="B41" s="65"/>
      <c r="C41" s="65"/>
      <c r="D41" s="8"/>
      <c r="E41" s="78"/>
      <c r="F41" s="81"/>
      <c r="G41" s="80">
        <v>2.6</v>
      </c>
      <c r="H41" s="45">
        <v>60</v>
      </c>
      <c r="I41" s="1">
        <v>1080</v>
      </c>
      <c r="J41" s="596" t="str">
        <f t="shared" si="0"/>
        <v>UDEN FOR OMRÅDET</v>
      </c>
      <c r="K41" s="16">
        <f>IF($B$5&lt;=15,"UDEN FOR OMRÅDET",IF($B$5&gt;=401,"UDEN FOR OMRÅDET",$B$5))</f>
        <v>20</v>
      </c>
    </row>
    <row r="42" spans="1:16" hidden="1" x14ac:dyDescent="0.2">
      <c r="A42" s="15" t="s">
        <v>107</v>
      </c>
      <c r="B42" s="65"/>
      <c r="C42" s="65"/>
      <c r="D42" s="8"/>
      <c r="E42" s="78"/>
      <c r="F42" s="81"/>
      <c r="G42" s="80">
        <v>4</v>
      </c>
      <c r="H42" s="45">
        <v>86</v>
      </c>
      <c r="I42" s="1">
        <v>1550</v>
      </c>
      <c r="J42" s="596">
        <f t="shared" si="0"/>
        <v>1500</v>
      </c>
      <c r="K42" s="16">
        <f>IF($B$5&lt;=8,"UDEN FOR OMRÅDET",IF($B$5&gt;=401,"UDEN FOR OMRÅDET",$B$5))</f>
        <v>20</v>
      </c>
    </row>
    <row r="43" spans="1:16" hidden="1" x14ac:dyDescent="0.2">
      <c r="A43" s="15" t="s">
        <v>109</v>
      </c>
      <c r="B43" s="65"/>
      <c r="C43" s="65"/>
      <c r="D43" s="8"/>
      <c r="E43" s="78"/>
      <c r="F43" s="81"/>
      <c r="G43" s="80">
        <v>4</v>
      </c>
      <c r="H43" s="45">
        <v>102</v>
      </c>
      <c r="I43" s="1">
        <v>1930</v>
      </c>
      <c r="J43" s="596">
        <f t="shared" si="0"/>
        <v>1500</v>
      </c>
      <c r="K43" s="16">
        <f>IF($B$5&lt;=11,"UDEN FOR OMRÅDET",IF($B$5&gt;=401,"UDEN FOR OMRÅDET",$B$5))</f>
        <v>20</v>
      </c>
    </row>
    <row r="44" spans="1:16" hidden="1" x14ac:dyDescent="0.2">
      <c r="A44" s="15" t="s">
        <v>112</v>
      </c>
      <c r="B44" s="65"/>
      <c r="C44" s="65"/>
      <c r="D44" s="8"/>
      <c r="E44" s="78"/>
      <c r="F44" s="81"/>
      <c r="G44" s="80">
        <v>3.9</v>
      </c>
      <c r="H44" s="45">
        <v>95</v>
      </c>
      <c r="I44" s="1">
        <v>2000</v>
      </c>
      <c r="J44" s="661">
        <f t="shared" si="0"/>
        <v>1500</v>
      </c>
      <c r="K44" s="16">
        <f>IF($B$5&lt;=11,"UDEN FOR OMRÅDET",IF($B$5&gt;=401,"UDEN FOR OMRÅDET",$B$5))</f>
        <v>20</v>
      </c>
    </row>
    <row r="45" spans="1:16" hidden="1" x14ac:dyDescent="0.2">
      <c r="A45" s="15" t="s">
        <v>114</v>
      </c>
      <c r="B45" s="65"/>
      <c r="C45" s="65"/>
      <c r="D45" s="8"/>
      <c r="E45" s="78"/>
      <c r="F45" s="81"/>
      <c r="G45" s="80">
        <v>4.2</v>
      </c>
      <c r="H45" s="45">
        <v>137</v>
      </c>
      <c r="I45" s="1">
        <v>2400</v>
      </c>
      <c r="J45" s="596">
        <f t="shared" si="0"/>
        <v>1500</v>
      </c>
      <c r="K45" s="16">
        <f>IF($B$5&lt;=8,"UDEN FOR OMRÅDET",IF($B$5&gt;=401,"UDEN FOR OMRÅDET",$B$5))</f>
        <v>20</v>
      </c>
    </row>
    <row r="46" spans="1:16" hidden="1" x14ac:dyDescent="0.2">
      <c r="A46" s="15" t="s">
        <v>712</v>
      </c>
      <c r="B46" s="65"/>
      <c r="C46" s="65"/>
      <c r="D46" s="8"/>
      <c r="E46" s="78"/>
      <c r="F46" s="81"/>
      <c r="G46" s="80">
        <v>5.4</v>
      </c>
      <c r="H46" s="45">
        <v>150</v>
      </c>
      <c r="I46" s="1">
        <v>1930</v>
      </c>
      <c r="J46" s="710">
        <f t="shared" si="0"/>
        <v>1500</v>
      </c>
      <c r="K46" s="16">
        <f>IF($B$5&lt;=8,"UDEN FOR OMRÅDET",IF($B$5&gt;=401,"UDEN FOR OMRÅDET",$B$5))</f>
        <v>20</v>
      </c>
    </row>
    <row r="47" spans="1:16" hidden="1" x14ac:dyDescent="0.2">
      <c r="A47" s="15" t="s">
        <v>91</v>
      </c>
      <c r="B47" s="65"/>
      <c r="C47" s="65"/>
      <c r="D47" s="8"/>
      <c r="E47" s="78"/>
      <c r="F47" s="81"/>
      <c r="G47" s="80">
        <v>10.9</v>
      </c>
      <c r="H47" s="45">
        <v>200</v>
      </c>
      <c r="I47" s="1">
        <v>5000</v>
      </c>
      <c r="J47" s="596">
        <f t="shared" si="0"/>
        <v>1500</v>
      </c>
      <c r="K47" s="16">
        <f>IF($B$5&lt;=13,"UDEN FOR OMRÅDET",IF($B$5&gt;=401,"UDEN FOR OMRÅDET",$B$5))</f>
        <v>20</v>
      </c>
    </row>
    <row r="48" spans="1:16" hidden="1" x14ac:dyDescent="0.2">
      <c r="A48" s="15" t="s">
        <v>94</v>
      </c>
      <c r="B48" s="65"/>
      <c r="C48" s="65"/>
      <c r="D48" s="8"/>
      <c r="E48" s="82"/>
      <c r="F48" s="83"/>
      <c r="G48" s="84">
        <v>18</v>
      </c>
      <c r="H48" s="596">
        <v>719</v>
      </c>
      <c r="I48" s="596">
        <v>7400</v>
      </c>
      <c r="J48" s="596">
        <f t="shared" si="0"/>
        <v>1500</v>
      </c>
      <c r="K48" s="16">
        <f>IF($B$5&lt;=14,"UDEN FOR OMRÅDET",IF($B$5&gt;=401,"UDEN FOR OMRÅDET",$B$5))</f>
        <v>20</v>
      </c>
    </row>
    <row r="49" spans="1:11" ht="13.5" hidden="1" thickBot="1" x14ac:dyDescent="0.25">
      <c r="A49" s="17" t="s">
        <v>97</v>
      </c>
      <c r="B49" s="66"/>
      <c r="C49" s="66"/>
      <c r="D49" s="48"/>
      <c r="E49" s="85"/>
      <c r="F49" s="86"/>
      <c r="G49" s="87">
        <v>20.3</v>
      </c>
      <c r="H49" s="19">
        <v>900</v>
      </c>
      <c r="I49" s="19">
        <v>10350</v>
      </c>
      <c r="J49" s="19">
        <f t="shared" si="0"/>
        <v>1500</v>
      </c>
      <c r="K49" s="20">
        <f>IF($B$5&lt;=16,"UDEN FOR OMRÅDET",IF($B$5&gt;=401,"UDEN FOR OMRÅDET",$B$5))</f>
        <v>20</v>
      </c>
    </row>
    <row r="50" spans="1:11" ht="13.5" hidden="1" thickTop="1" x14ac:dyDescent="0.2">
      <c r="A50" s="9"/>
      <c r="B50" s="9"/>
      <c r="C50" s="9"/>
      <c r="D50" s="10"/>
      <c r="E50" s="10"/>
      <c r="F50" s="10"/>
      <c r="G50" s="10"/>
      <c r="H50" s="10"/>
      <c r="I50" s="10"/>
      <c r="J50" s="10"/>
      <c r="K50" s="10"/>
    </row>
    <row r="53" spans="1:11" x14ac:dyDescent="0.2">
      <c r="E53" s="88"/>
    </row>
  </sheetData>
  <sheetProtection sheet="1" objects="1" scenarios="1"/>
  <mergeCells count="6">
    <mergeCell ref="A1:K1"/>
    <mergeCell ref="A9:A10"/>
    <mergeCell ref="B9:C9"/>
    <mergeCell ref="D9:F9"/>
    <mergeCell ref="A37:K37"/>
    <mergeCell ref="A2:K2"/>
  </mergeCells>
  <pageMargins left="0.59055118110236227" right="0.39370078740157483" top="0.98425196850393704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showGridLines="0" tabSelected="1" zoomScaleNormal="100" workbookViewId="0">
      <selection activeCell="E67" sqref="E67"/>
    </sheetView>
  </sheetViews>
  <sheetFormatPr defaultColWidth="8.85546875" defaultRowHeight="12.75" x14ac:dyDescent="0.2"/>
  <cols>
    <col min="1" max="1" width="23.7109375" style="601" customWidth="1"/>
    <col min="2" max="2" width="14.28515625" style="601" customWidth="1"/>
    <col min="3" max="3" width="15.7109375" style="601" customWidth="1"/>
    <col min="4" max="4" width="16.42578125" style="601" customWidth="1"/>
    <col min="5" max="5" width="15.7109375" style="601" customWidth="1"/>
    <col min="6" max="7" width="10.7109375" style="601" customWidth="1"/>
    <col min="8" max="8" width="7.140625" style="601" customWidth="1"/>
    <col min="9" max="9" width="10.7109375" style="601" customWidth="1"/>
    <col min="10" max="10" width="20.42578125" style="601" customWidth="1"/>
    <col min="11" max="13" width="8.85546875" style="601"/>
    <col min="14" max="15" width="20.28515625" style="601" customWidth="1"/>
    <col min="16" max="16384" width="8.85546875" style="601"/>
  </cols>
  <sheetData>
    <row r="1" spans="1:11" ht="21" thickTop="1" x14ac:dyDescent="0.3">
      <c r="A1" s="719" t="s">
        <v>713</v>
      </c>
      <c r="B1" s="720"/>
      <c r="C1" s="720"/>
      <c r="D1" s="720"/>
      <c r="E1" s="720"/>
      <c r="F1" s="720"/>
      <c r="G1" s="720"/>
      <c r="H1" s="720"/>
      <c r="I1" s="720"/>
      <c r="J1" s="543"/>
      <c r="K1" s="600"/>
    </row>
    <row r="2" spans="1:11" ht="21" thickBot="1" x14ac:dyDescent="0.35">
      <c r="A2" s="725" t="s">
        <v>625</v>
      </c>
      <c r="B2" s="726"/>
      <c r="C2" s="726"/>
      <c r="D2" s="726"/>
      <c r="E2" s="726"/>
      <c r="F2" s="726"/>
      <c r="G2" s="726"/>
      <c r="H2" s="726"/>
      <c r="I2" s="726"/>
      <c r="J2" s="727"/>
      <c r="K2" s="600"/>
    </row>
    <row r="3" spans="1:11" ht="13.5" thickTop="1" x14ac:dyDescent="0.2">
      <c r="A3" s="602"/>
      <c r="B3" s="603"/>
      <c r="C3" s="603"/>
      <c r="D3" s="604"/>
      <c r="E3" s="604"/>
      <c r="F3" s="604"/>
      <c r="G3" s="604"/>
      <c r="H3" s="604"/>
      <c r="I3" s="604"/>
      <c r="J3" s="605"/>
    </row>
    <row r="4" spans="1:11" ht="13.5" thickBot="1" x14ac:dyDescent="0.25">
      <c r="A4" s="606"/>
      <c r="B4" s="711" t="s">
        <v>25</v>
      </c>
      <c r="C4" s="607"/>
      <c r="D4" s="608"/>
      <c r="F4" s="607"/>
      <c r="G4" s="607"/>
      <c r="H4" s="607"/>
      <c r="I4" s="607"/>
      <c r="J4" s="609"/>
    </row>
    <row r="5" spans="1:11" ht="13.5" hidden="1" thickBot="1" x14ac:dyDescent="0.25">
      <c r="A5" s="610" t="s">
        <v>68</v>
      </c>
      <c r="B5" s="611">
        <v>20</v>
      </c>
      <c r="C5" s="612" t="s">
        <v>69</v>
      </c>
      <c r="F5" s="607"/>
      <c r="G5" s="607"/>
      <c r="H5" s="607"/>
      <c r="I5" s="607"/>
      <c r="J5" s="609"/>
    </row>
    <row r="6" spans="1:11" ht="13.5" thickBot="1" x14ac:dyDescent="0.25">
      <c r="A6" s="37" t="s">
        <v>57</v>
      </c>
      <c r="B6" s="613">
        <v>250</v>
      </c>
      <c r="C6" s="28" t="s">
        <v>584</v>
      </c>
      <c r="D6" s="614"/>
      <c r="F6" s="607"/>
      <c r="G6" s="615"/>
      <c r="H6" s="607"/>
      <c r="I6" s="607"/>
      <c r="J6" s="609"/>
    </row>
    <row r="7" spans="1:11" x14ac:dyDescent="0.2">
      <c r="A7" s="606"/>
      <c r="B7" s="607"/>
      <c r="C7" s="607"/>
      <c r="F7" s="607"/>
      <c r="G7" s="615"/>
      <c r="H7" s="607"/>
      <c r="I7" s="607"/>
      <c r="J7" s="609"/>
    </row>
    <row r="8" spans="1:11" ht="13.5" thickBot="1" x14ac:dyDescent="0.25">
      <c r="A8" s="606"/>
      <c r="B8" s="607"/>
      <c r="C8" s="607"/>
      <c r="D8" s="607"/>
      <c r="E8" s="607"/>
      <c r="F8" s="607"/>
      <c r="G8" s="607"/>
      <c r="H8" s="607"/>
      <c r="I8" s="607"/>
      <c r="J8" s="609"/>
    </row>
    <row r="9" spans="1:11" ht="13.5" thickTop="1" x14ac:dyDescent="0.2">
      <c r="A9" s="733" t="s">
        <v>24</v>
      </c>
      <c r="B9" s="718" t="s">
        <v>61</v>
      </c>
      <c r="C9" s="718"/>
      <c r="D9" s="718" t="s">
        <v>72</v>
      </c>
      <c r="E9" s="724"/>
      <c r="F9" s="607"/>
      <c r="G9" s="607"/>
      <c r="H9" s="607"/>
      <c r="I9" s="607"/>
      <c r="J9" s="609"/>
    </row>
    <row r="10" spans="1:11" x14ac:dyDescent="0.2">
      <c r="A10" s="734"/>
      <c r="B10" s="503" t="s">
        <v>585</v>
      </c>
      <c r="C10" s="503" t="s">
        <v>102</v>
      </c>
      <c r="D10" s="142" t="s">
        <v>63</v>
      </c>
      <c r="E10" s="41" t="s">
        <v>74</v>
      </c>
      <c r="F10" s="607"/>
      <c r="G10" s="607"/>
      <c r="H10" s="607"/>
      <c r="I10" s="607"/>
      <c r="J10" s="609"/>
    </row>
    <row r="11" spans="1:11" x14ac:dyDescent="0.2">
      <c r="A11" s="616" t="s">
        <v>576</v>
      </c>
      <c r="B11" s="617" t="s">
        <v>694</v>
      </c>
      <c r="C11" s="617" t="s">
        <v>670</v>
      </c>
      <c r="D11" s="618" t="str">
        <f>IF(I44="UDEN FOR OMRÅDET","NOT POSSIBLE",IF(J44="UDEN FOR OMRÅDET","NOT POSSIBLE",(-0.0007*B6^3+0.0111*B6^2+0.2671*B6-0.1437)))</f>
        <v>NOT POSSIBLE</v>
      </c>
      <c r="E11" s="619" t="str">
        <f>IF(I44="UDEN FOR OMRÅDET","NOT POSSIBLE",IF($B$6&lt;3.9,6.5,((((0.25*D11^3-0.25*D11^2+0.5*D11+6))))))</f>
        <v>NOT POSSIBLE</v>
      </c>
      <c r="F11" s="607"/>
      <c r="G11" s="607"/>
      <c r="H11" s="607"/>
      <c r="I11" s="607"/>
      <c r="J11" s="609"/>
    </row>
    <row r="12" spans="1:11" x14ac:dyDescent="0.2">
      <c r="A12" s="620" t="s">
        <v>577</v>
      </c>
      <c r="B12" s="621" t="s">
        <v>695</v>
      </c>
      <c r="C12" s="621" t="s">
        <v>671</v>
      </c>
      <c r="D12" s="618" t="str">
        <f>IF(I45="UDEN FOR OMRÅDET","NOT POSSIBLE",IF(J45="UDEN FOR OMRÅDET","NOT POSSIBLE",(-0.000159*B6^3+0.004239*B6^2+0.159774*B6-0.099711)))</f>
        <v>NOT POSSIBLE</v>
      </c>
      <c r="E12" s="619" t="str">
        <f>IF(I45="UDEN FOR OMRÅDET","NOT POSSIBLE",IF($B$6&lt;6.2,19,((((0.6667*D12^3-0.5*D12^2-1.1667*D12+20))))))</f>
        <v>NOT POSSIBLE</v>
      </c>
      <c r="F12" s="607"/>
      <c r="G12" s="607"/>
      <c r="H12" s="607"/>
      <c r="I12" s="607"/>
      <c r="J12" s="609"/>
    </row>
    <row r="13" spans="1:11" x14ac:dyDescent="0.2">
      <c r="A13" s="616" t="s">
        <v>578</v>
      </c>
      <c r="B13" s="617" t="s">
        <v>696</v>
      </c>
      <c r="C13" s="617" t="s">
        <v>672</v>
      </c>
      <c r="D13" s="618" t="str">
        <f>IF(I46="UDEN FOR OMRÅDET","NOT POSSIBLE",IF(J46="UDEN FOR OMRÅDET","NOT POSSIBLE",(-0.000124*B6^3+0.002487*B6^2+0.185365*B6-0.283831)))</f>
        <v>NOT POSSIBLE</v>
      </c>
      <c r="E13" s="619" t="str">
        <f>IF(I46="UDEN FOR OMRÅDET","NOT POSSIBLE",IF($B$6&lt;6.6,15,((((0.6667*D13^3-4.5*D13^2+11.833*D13+7))))))</f>
        <v>NOT POSSIBLE</v>
      </c>
      <c r="F13" s="607"/>
      <c r="G13" s="607"/>
      <c r="H13" s="607"/>
      <c r="I13" s="607"/>
      <c r="J13" s="609"/>
    </row>
    <row r="14" spans="1:11" x14ac:dyDescent="0.2">
      <c r="A14" s="620" t="s">
        <v>579</v>
      </c>
      <c r="B14" s="621" t="s">
        <v>697</v>
      </c>
      <c r="C14" s="621" t="s">
        <v>673</v>
      </c>
      <c r="D14" s="618" t="str">
        <f>IF(I47="UDEN FOR OMRÅDET","NOT POSSIBLE",IF(J47="UDEN FOR OMRÅDET","NOT POSSIBLE",(0.00000407*B6^4-0.00036799*B6^3+0.01016138*B6^2+0.03167768*B6+0.12121138)))</f>
        <v>NOT POSSIBLE</v>
      </c>
      <c r="E14" s="619" t="str">
        <f>IF(I47="UDEN FOR OMRÅDET","NOT POSSIBLE",IF($B$6&lt;9.1,30,((((2.6667*D14^3-15.5*D14^2+29.833*D14+13))))))</f>
        <v>NOT POSSIBLE</v>
      </c>
      <c r="F14" s="607"/>
      <c r="G14" s="607"/>
      <c r="H14" s="607"/>
      <c r="I14" s="607"/>
      <c r="J14" s="609"/>
    </row>
    <row r="15" spans="1:11" x14ac:dyDescent="0.2">
      <c r="A15" s="616" t="s">
        <v>580</v>
      </c>
      <c r="B15" s="617" t="s">
        <v>698</v>
      </c>
      <c r="C15" s="617" t="s">
        <v>674</v>
      </c>
      <c r="D15" s="618" t="str">
        <f>IF(I48="UDEN FOR OMRÅDET","NOT POSSIBLE",IF(J48="UDEN FOR OMRÅDET","NOT POSSIBLE",(-0.000044*B6^3+0.000728*B6^2+0.150689*B6-0.254301)))</f>
        <v>NOT POSSIBLE</v>
      </c>
      <c r="E15" s="619" t="str">
        <f>IF(I48="UDEN FOR OMRÅDET","NOT POSSIBLE",IF($B$6&lt;8.3,16,((((0.5*D15^3-3*D15^2+7.5*D15+11))))))</f>
        <v>NOT POSSIBLE</v>
      </c>
      <c r="F15" s="607"/>
      <c r="G15" s="607"/>
      <c r="H15" s="607"/>
      <c r="I15" s="607"/>
      <c r="J15" s="609"/>
    </row>
    <row r="16" spans="1:11" x14ac:dyDescent="0.2">
      <c r="A16" s="620" t="s">
        <v>581</v>
      </c>
      <c r="B16" s="621" t="s">
        <v>699</v>
      </c>
      <c r="C16" s="621" t="s">
        <v>675</v>
      </c>
      <c r="D16" s="618" t="str">
        <f>IF(I49="UDEN FOR OMRÅDET","NOT POSSIBLE",IF(J49="UDEN FOR OMRÅDET","NOT POSSIBLE",(0.00000156*B6^4-0.0001838*B6^3+0.00652234*B6^2+0.0239868*B6+0.17174038)))</f>
        <v>NOT POSSIBLE</v>
      </c>
      <c r="E16" s="619" t="str">
        <f>IF(I49="UDEN FOR OMRÅDET","NOT POSSIBLE",IF($B$6&lt;11,23,((((1.8245614*D16^3-9.20300752*D16^2+16.72431078*D16+13.67293233))))))</f>
        <v>NOT POSSIBLE</v>
      </c>
      <c r="F16" s="607"/>
      <c r="G16" s="607"/>
      <c r="H16" s="607"/>
      <c r="I16" s="607"/>
      <c r="J16" s="609"/>
    </row>
    <row r="17" spans="1:12" x14ac:dyDescent="0.2">
      <c r="A17" s="616" t="s">
        <v>605</v>
      </c>
      <c r="B17" s="617" t="s">
        <v>700</v>
      </c>
      <c r="C17" s="617" t="s">
        <v>676</v>
      </c>
      <c r="D17" s="618" t="str">
        <f>IF(I50="UDEN FOR OMRÅDET","NOT POSSIBLE",IF(J50="UDEN FOR OMRÅDET","NOT POSSIBLE",(0.0000006139*B6^4-0.000106561*B6^3+0.0058288674*B6^2-0.0444580014*B6+0.4579242305)))</f>
        <v>NOT POSSIBLE</v>
      </c>
      <c r="E17" s="619" t="str">
        <f>IF(I50="UDEN FOR OMRÅDET","NOT POSSIBLE",IF($B$6&lt;8.3,16,((((0.0000690761*B6^3-0.0045265849*B6^2+0.2633541895*B6+16.2995714859))))))</f>
        <v>NOT POSSIBLE</v>
      </c>
      <c r="F17" s="607"/>
      <c r="G17" s="607"/>
      <c r="H17" s="607"/>
      <c r="I17" s="607"/>
      <c r="J17" s="609"/>
    </row>
    <row r="18" spans="1:12" x14ac:dyDescent="0.2">
      <c r="A18" s="620" t="s">
        <v>606</v>
      </c>
      <c r="B18" s="621" t="s">
        <v>701</v>
      </c>
      <c r="C18" s="621" t="s">
        <v>673</v>
      </c>
      <c r="D18" s="618" t="str">
        <f>IF(I51="UDEN FOR OMRÅDET","NOT POSSIBLE",IF(J51="UDEN FOR OMRÅDET","NOT POSSIBLE",(0.0000002014*B6^4-0.0000448209*B6^3+0.0030842417*B6^2-0.0208500823*B6+0.3651879533)))</f>
        <v>NOT POSSIBLE</v>
      </c>
      <c r="E18" s="619" t="str">
        <f>IF(I51="UDEN FOR OMRÅDET","NOT POSSIBLE",IF($B$6&lt;8.3,16,((((0.0000124414*B6^3+0.0047437114*B6^2+0.0004843365*B6+27.4237821061))))))</f>
        <v>NOT POSSIBLE</v>
      </c>
      <c r="F18" s="607"/>
      <c r="G18" s="607"/>
      <c r="H18" s="607"/>
      <c r="I18" s="607"/>
      <c r="J18" s="609"/>
    </row>
    <row r="19" spans="1:12" x14ac:dyDescent="0.2">
      <c r="A19" s="616" t="s">
        <v>609</v>
      </c>
      <c r="B19" s="617" t="s">
        <v>611</v>
      </c>
      <c r="C19" s="617" t="s">
        <v>674</v>
      </c>
      <c r="D19" s="618" t="str">
        <f>IF(I52="UDEN FOR OMRÅDET","NOT POSSIBLE",IF(J52="UDEN FOR OMRÅDET","NOT POSSIBLE",(-0.0000024*B6^3+0.00033459*B6^2+0.02873223*B6-0.03574711)))</f>
        <v>NOT POSSIBLE</v>
      </c>
      <c r="E19" s="619" t="str">
        <f>IF(I52="UDEN FOR OMRÅDET","NOT POSSIBLE",IF($B$6&lt;28.5,16,((((0.00004639*B6^3-0.00631449*B6^2+0.36332191*B6+9.70047171))))))</f>
        <v>NOT POSSIBLE</v>
      </c>
      <c r="F19" s="607"/>
      <c r="G19" s="607"/>
      <c r="H19" s="607"/>
      <c r="I19" s="607"/>
      <c r="J19" s="609"/>
    </row>
    <row r="20" spans="1:12" x14ac:dyDescent="0.2">
      <c r="A20" s="620" t="s">
        <v>610</v>
      </c>
      <c r="B20" s="621" t="s">
        <v>612</v>
      </c>
      <c r="C20" s="621" t="s">
        <v>677</v>
      </c>
      <c r="D20" s="618" t="str">
        <f>IF(I53="UDEN FOR OMRÅDET","NOT POSSIBLE",IF(J53="UDEN FOR OMRÅDET","NOT POSSIBLE",(0.0000000087*B6^4-0.0000042912*B6^3+0.000602127*B6^2+0.0030265472*B6+0.2709223762)))</f>
        <v>NOT POSSIBLE</v>
      </c>
      <c r="E20" s="619" t="str">
        <f>IF(I53="UDEN FOR OMRÅDET","NOT POSSIBLE",IF($B$6&lt;36.5,27,((((0.00003815*B6^3-0.00623625*B6^2+0.39933964*B6+18.87714266))))))</f>
        <v>NOT POSSIBLE</v>
      </c>
      <c r="F20" s="607"/>
      <c r="G20" s="607"/>
      <c r="H20" s="607"/>
      <c r="I20" s="607"/>
      <c r="J20" s="609"/>
    </row>
    <row r="21" spans="1:12" x14ac:dyDescent="0.2">
      <c r="A21" s="616" t="s">
        <v>617</v>
      </c>
      <c r="B21" s="617" t="s">
        <v>618</v>
      </c>
      <c r="C21" s="617" t="s">
        <v>678</v>
      </c>
      <c r="D21" s="618" t="str">
        <f>IF(I54="UDEN FOR OMRÅDET","NOT POSSIBLE",IF(J54="UDEN FOR OMRÅDET","NOT POSSIBLE",(0.0000000079*B6^4-0.0000031427*B6^3+0.0003781874*B6^2+0.0139576939*B6+0.0433215217)))</f>
        <v>NOT POSSIBLE</v>
      </c>
      <c r="E21" s="619" t="str">
        <f>IF(I54="UDEN FOR OMRÅDET","NOT POSSIBLE",IF($B$6&lt;70.4,21,((((-1.6666666667*D21^3+13.5*D21^2-27.8333333333*D21+37))))))</f>
        <v>NOT POSSIBLE</v>
      </c>
      <c r="F21" s="607"/>
      <c r="G21" s="607"/>
      <c r="H21" s="607"/>
      <c r="I21" s="607"/>
      <c r="J21" s="609"/>
    </row>
    <row r="22" spans="1:12" x14ac:dyDescent="0.2">
      <c r="A22" s="620" t="s">
        <v>619</v>
      </c>
      <c r="B22" s="621" t="s">
        <v>620</v>
      </c>
      <c r="C22" s="621" t="s">
        <v>679</v>
      </c>
      <c r="D22" s="618" t="str">
        <f>IF(I55="UDEN FOR OMRÅDET","NOT POSSIBLE",IF(J55="UDEN FOR OMRÅDET","NOT POSSIBLE",(0.000000004262661*B6^4-0.000002203935325*B6^3+0.000349196460344*B6^2+0.003639383225018*B6+0.193846671691572)))</f>
        <v>NOT POSSIBLE</v>
      </c>
      <c r="E22" s="619" t="str">
        <f>IF(I55="UDEN FOR OMRÅDET","NOT POSSIBLE",IF($B$6&lt;89,33,((((-0.6666666667*D22^3+9.5*D22^2-22.8333333333*D22+47))))))</f>
        <v>NOT POSSIBLE</v>
      </c>
      <c r="F22" s="607"/>
      <c r="G22" s="607"/>
      <c r="H22" s="607"/>
      <c r="I22" s="607"/>
      <c r="J22" s="609"/>
    </row>
    <row r="23" spans="1:12" x14ac:dyDescent="0.2">
      <c r="A23" s="616" t="s">
        <v>668</v>
      </c>
      <c r="B23" s="617" t="s">
        <v>690</v>
      </c>
      <c r="C23" s="617" t="s">
        <v>681</v>
      </c>
      <c r="D23" s="618" t="str">
        <f>IF(I56="UDEN FOR OMRÅDET","NOT POSSIBLE",IF(J56="UDEN FOR OMRÅDET","NOT POSSIBLE",(-0.000000006659004*B6^4+0.000004735461176*B6^3-0.001276874830972*B6^2+0.177325762767072*B6-7.83507332221808)))</f>
        <v>NOT POSSIBLE</v>
      </c>
      <c r="E23" s="619" t="str">
        <f>IF(I56="UDEN FOR OMRÅDET","NOT POSSIBLE",IF($B$6&lt;70.4,21,((((-0.5*D23^3+4.49999999999909*D23^2-4.99999999999727*D23+11.999999999996))))))</f>
        <v>NOT POSSIBLE</v>
      </c>
      <c r="F23" s="607"/>
      <c r="G23" s="607"/>
      <c r="H23" s="607"/>
      <c r="I23" s="607"/>
      <c r="J23" s="609"/>
    </row>
    <row r="24" spans="1:12" x14ac:dyDescent="0.2">
      <c r="A24" s="620" t="s">
        <v>669</v>
      </c>
      <c r="B24" s="621" t="s">
        <v>691</v>
      </c>
      <c r="C24" s="621" t="s">
        <v>680</v>
      </c>
      <c r="D24" s="618">
        <f>IF(I57="UDEN FOR OMRÅDET","NOT POSSIBLE",IF(J57="UDEN FOR OMRÅDET","NOT POSSIBLE",(-0.000000000611426*B6^4+0.000000656353947*B6^3-0.000284996728231*B6^2+0.074287325446848*B6-5.10628086784494)))</f>
        <v>3.5204025888045587</v>
      </c>
      <c r="E24" s="619">
        <f>IF(I57="UDEN FOR OMRÅDET","NOT POSSIBLE",IF($B$6&lt;89,33,((((-2.16666666666652*D24^3+17.9999999999977*D24^2-28.8333333333271*D24+43.9999999999905))))))</f>
        <v>71.043399748919114</v>
      </c>
      <c r="F24" s="607"/>
      <c r="G24" s="607"/>
      <c r="H24" s="607"/>
      <c r="I24" s="607"/>
      <c r="J24" s="609"/>
    </row>
    <row r="25" spans="1:12" x14ac:dyDescent="0.2">
      <c r="A25" s="616" t="s">
        <v>686</v>
      </c>
      <c r="B25" s="617" t="s">
        <v>692</v>
      </c>
      <c r="C25" s="617" t="s">
        <v>685</v>
      </c>
      <c r="D25" s="618">
        <f>IF(I58="UDEN FOR OMRÅDET","NOT POSSIBLE",IF(J58="UDEN FOR OMRÅDET","NOT POSSIBLE",(-2.52847125E-12*B6^5+4.68657669347E-09*B6^4-3.38486827279208E-06*B6^3+0.00116642754838534*B6^2-0.177120541975483*B6+10.2818610440989)))</f>
        <v>1.8526105657247207</v>
      </c>
      <c r="E25" s="619">
        <f>IF(I58="UDEN FOR OMRÅDET","NOT POSSIBLE",IF($B$6&lt;70.4,21,((((-0.833333*D25^3+7.5*D25^2-11.666667*D25+15))))))</f>
        <v>13.828733526161784</v>
      </c>
      <c r="F25" s="607"/>
      <c r="G25" s="607"/>
      <c r="H25" s="607"/>
      <c r="I25" s="607"/>
      <c r="J25" s="609"/>
    </row>
    <row r="26" spans="1:12" x14ac:dyDescent="0.2">
      <c r="A26" s="620" t="s">
        <v>687</v>
      </c>
      <c r="B26" s="621" t="s">
        <v>693</v>
      </c>
      <c r="C26" s="621" t="s">
        <v>672</v>
      </c>
      <c r="D26" s="618">
        <f>IF(I59="UDEN FOR OMRÅDET","NOT POSSIBLE",IF(J59="UDEN FOR OMRÅDET","NOT POSSIBLE",(8.5275752E-13*B6^5-1.96247855196E-09*B6^4+1.79855952093491E-06*B6^3-0.000825168971576492*B6^2+0.197731076146651*B6-18.0380359494749
)))</f>
        <v>1.0910040502963163</v>
      </c>
      <c r="E26" s="619">
        <f>IF(I59="UDEN FOR OMRÅDET","NOT POSSIBLE",IF($B$6&lt;89,33,((((-0.833333*D26^3+10*D26^2-14.166667*D26+20))))))</f>
        <v>15.364831872612566</v>
      </c>
      <c r="F26" s="607"/>
      <c r="G26" s="607"/>
      <c r="H26" s="607"/>
      <c r="I26" s="607"/>
      <c r="J26" s="609"/>
    </row>
    <row r="27" spans="1:12" x14ac:dyDescent="0.2">
      <c r="A27" s="616" t="s">
        <v>688</v>
      </c>
      <c r="B27" s="617" t="s">
        <v>692</v>
      </c>
      <c r="C27" s="617" t="s">
        <v>685</v>
      </c>
      <c r="D27" s="618">
        <f>IF(I60="UDEN FOR OMRÅDET","NOT POSSIBLE",IF(J60="UDEN FOR OMRÅDET","NOT POSSIBLE",(-2.52847125E-12*B6^5+4.68657669347E-09*B6^4-3.38486827279208E-06*B6^3+0.00116642754838534*B6^2-0.177120541975483*B6+10.2818610440989)))</f>
        <v>1.8526105657247207</v>
      </c>
      <c r="E27" s="619">
        <f>IF(I60="UDEN FOR OMRÅDET","NOT POSSIBLE",IF($B$6&lt;70.4,21,((((-0.833333*D27^3+7.5*D27^2-11.666667*D27+15))))))</f>
        <v>13.828733526161784</v>
      </c>
      <c r="F27" s="607"/>
      <c r="G27" s="607"/>
      <c r="H27" s="607"/>
      <c r="I27" s="607"/>
      <c r="J27" s="609"/>
    </row>
    <row r="28" spans="1:12" ht="13.5" thickBot="1" x14ac:dyDescent="0.25">
      <c r="A28" s="622" t="s">
        <v>689</v>
      </c>
      <c r="B28" s="623" t="s">
        <v>693</v>
      </c>
      <c r="C28" s="623" t="s">
        <v>672</v>
      </c>
      <c r="D28" s="624">
        <f>IF(I61="UDEN FOR OMRÅDET","NOT POSSIBLE",IF(J61="UDEN FOR OMRÅDET","NOT POSSIBLE",(8.5275752E-13*B6^5-1.96247855196E-09*B6^4+1.79855952093491E-06*B6^3-0.000825168971576492*B6^2+0.197731076146651*B6-18.0380359494749
)))</f>
        <v>1.0910040502963163</v>
      </c>
      <c r="E28" s="625">
        <f>IF(I61="UDEN FOR OMRÅDET","NOT POSSIBLE",IF($B$6&lt;89,33,((((-0.833333*D28^3+10*D28^2-14.166667*D28+20))))))</f>
        <v>15.364831872612566</v>
      </c>
      <c r="F28" s="607"/>
      <c r="G28" s="607"/>
      <c r="H28" s="607"/>
      <c r="I28" s="607"/>
      <c r="J28" s="609"/>
    </row>
    <row r="29" spans="1:12" ht="13.5" thickTop="1" x14ac:dyDescent="0.2">
      <c r="A29" s="606"/>
      <c r="B29" s="607"/>
      <c r="C29" s="607"/>
      <c r="D29" s="607"/>
      <c r="F29" s="607"/>
      <c r="G29" s="607"/>
      <c r="H29" s="607"/>
      <c r="I29" s="607"/>
      <c r="J29" s="609"/>
    </row>
    <row r="30" spans="1:12" x14ac:dyDescent="0.2">
      <c r="A30" s="606"/>
      <c r="B30" s="607"/>
      <c r="C30" s="607"/>
      <c r="D30" s="607"/>
      <c r="F30" s="607"/>
      <c r="G30" s="607"/>
      <c r="H30" s="607"/>
      <c r="I30" s="607"/>
      <c r="J30" s="609"/>
      <c r="L30" s="626"/>
    </row>
    <row r="31" spans="1:12" x14ac:dyDescent="0.2">
      <c r="A31" s="606"/>
      <c r="B31" s="607"/>
      <c r="C31" s="607"/>
      <c r="D31" s="607"/>
      <c r="F31" s="607"/>
      <c r="G31" s="607"/>
      <c r="H31" s="607"/>
      <c r="I31" s="607"/>
      <c r="J31" s="609"/>
    </row>
    <row r="32" spans="1:12" x14ac:dyDescent="0.2">
      <c r="A32" s="606"/>
      <c r="B32" s="607"/>
      <c r="C32" s="607"/>
      <c r="D32" s="607"/>
      <c r="F32" s="607"/>
      <c r="G32" s="607"/>
      <c r="H32" s="607"/>
      <c r="I32" s="607"/>
      <c r="J32" s="609"/>
    </row>
    <row r="33" spans="1:15" x14ac:dyDescent="0.2">
      <c r="A33" s="606"/>
      <c r="B33" s="607"/>
      <c r="C33" s="607"/>
      <c r="D33" s="607"/>
      <c r="F33" s="607"/>
      <c r="G33" s="607"/>
      <c r="H33" s="607"/>
      <c r="I33" s="607"/>
      <c r="J33" s="609"/>
    </row>
    <row r="34" spans="1:15" x14ac:dyDescent="0.2">
      <c r="A34" s="606"/>
      <c r="B34" s="607"/>
      <c r="C34" s="607"/>
      <c r="D34" s="607"/>
      <c r="F34" s="607"/>
      <c r="G34" s="607"/>
      <c r="H34" s="607"/>
      <c r="I34" s="607"/>
      <c r="J34" s="609"/>
    </row>
    <row r="35" spans="1:15" x14ac:dyDescent="0.2">
      <c r="A35" s="606"/>
      <c r="B35" s="607"/>
      <c r="C35" s="607"/>
      <c r="D35" s="607"/>
      <c r="F35" s="607"/>
      <c r="G35" s="607"/>
      <c r="H35" s="607"/>
      <c r="I35" s="607"/>
      <c r="J35" s="609"/>
    </row>
    <row r="36" spans="1:15" x14ac:dyDescent="0.2">
      <c r="A36" s="606"/>
      <c r="B36" s="607"/>
      <c r="C36" s="607"/>
      <c r="D36" s="607"/>
      <c r="F36" s="607"/>
      <c r="G36" s="607"/>
      <c r="H36" s="607"/>
      <c r="I36" s="607"/>
      <c r="J36" s="609"/>
    </row>
    <row r="37" spans="1:15" x14ac:dyDescent="0.2">
      <c r="A37" s="606"/>
      <c r="B37" s="607"/>
      <c r="C37" s="607"/>
      <c r="D37" s="607"/>
      <c r="E37" s="627"/>
      <c r="F37" s="607"/>
      <c r="G37" s="607"/>
      <c r="H37" s="607"/>
      <c r="I37" s="607"/>
      <c r="J37" s="609"/>
    </row>
    <row r="38" spans="1:15" ht="13.5" thickBot="1" x14ac:dyDescent="0.25">
      <c r="A38" s="32" t="s">
        <v>178</v>
      </c>
      <c r="B38" s="628"/>
      <c r="C38" s="628"/>
      <c r="D38" s="629"/>
      <c r="E38" s="628"/>
      <c r="F38" s="628"/>
      <c r="G38" s="628"/>
      <c r="H38" s="628"/>
      <c r="I38" s="628"/>
      <c r="J38" s="630"/>
    </row>
    <row r="39" spans="1:15" ht="10.5" customHeight="1" thickTop="1" x14ac:dyDescent="0.2">
      <c r="D39" s="631"/>
    </row>
    <row r="40" spans="1:15" x14ac:dyDescent="0.2">
      <c r="D40" s="631"/>
      <c r="L40" s="632"/>
      <c r="M40" s="632"/>
    </row>
    <row r="41" spans="1:15" s="635" customFormat="1" ht="31.5" hidden="1" customHeight="1" x14ac:dyDescent="0.4">
      <c r="A41" s="731" t="s">
        <v>11</v>
      </c>
      <c r="B41" s="731"/>
      <c r="C41" s="731"/>
      <c r="D41" s="732"/>
      <c r="E41" s="732"/>
      <c r="F41" s="732"/>
      <c r="G41" s="732"/>
      <c r="H41" s="732"/>
      <c r="I41" s="732"/>
      <c r="J41" s="732"/>
      <c r="K41" s="633"/>
      <c r="L41" s="634"/>
      <c r="M41" s="634"/>
      <c r="N41" s="634"/>
      <c r="O41" s="634"/>
    </row>
    <row r="42" spans="1:15" hidden="1" x14ac:dyDescent="0.2"/>
    <row r="43" spans="1:15" ht="13.5" hidden="1" thickTop="1" x14ac:dyDescent="0.2">
      <c r="A43" s="636" t="s">
        <v>0</v>
      </c>
      <c r="B43" s="637"/>
      <c r="C43" s="637"/>
      <c r="D43" s="638" t="s">
        <v>1</v>
      </c>
      <c r="E43" s="638" t="s">
        <v>3</v>
      </c>
      <c r="F43" s="638" t="s">
        <v>8</v>
      </c>
      <c r="G43" s="638" t="s">
        <v>4</v>
      </c>
      <c r="H43" s="638" t="s">
        <v>5</v>
      </c>
      <c r="I43" s="639" t="s">
        <v>6</v>
      </c>
      <c r="J43" s="640"/>
    </row>
    <row r="44" spans="1:15" hidden="1" x14ac:dyDescent="0.2">
      <c r="A44" s="641" t="s">
        <v>576</v>
      </c>
      <c r="B44" s="642"/>
      <c r="C44" s="642"/>
      <c r="D44" s="643"/>
      <c r="E44" s="644"/>
      <c r="F44" s="645">
        <v>33.5</v>
      </c>
      <c r="G44" s="646">
        <v>2.48</v>
      </c>
      <c r="H44" s="647">
        <v>15</v>
      </c>
      <c r="I44" s="648" t="str">
        <f t="shared" ref="I44:I55" si="0">IF($B$6&lt;=G44-0.001,"UDEN FOR OMRÅDET",IF($B$6&gt;=H44+0.1,"UDEN FOR OMRÅDET",$B$6))</f>
        <v>UDEN FOR OMRÅDET</v>
      </c>
      <c r="J44" s="649"/>
    </row>
    <row r="45" spans="1:15" hidden="1" x14ac:dyDescent="0.2">
      <c r="A45" s="650" t="s">
        <v>577</v>
      </c>
      <c r="B45" s="642"/>
      <c r="C45" s="642"/>
      <c r="D45" s="643"/>
      <c r="E45" s="643"/>
      <c r="F45" s="645">
        <v>33.5</v>
      </c>
      <c r="G45" s="646">
        <v>3.92</v>
      </c>
      <c r="H45" s="647">
        <v>24</v>
      </c>
      <c r="I45" s="648" t="str">
        <f t="shared" si="0"/>
        <v>UDEN FOR OMRÅDET</v>
      </c>
      <c r="J45" s="649"/>
    </row>
    <row r="46" spans="1:15" hidden="1" x14ac:dyDescent="0.2">
      <c r="A46" s="651" t="s">
        <v>578</v>
      </c>
      <c r="B46" s="642"/>
      <c r="C46" s="642"/>
      <c r="D46" s="643"/>
      <c r="E46" s="643"/>
      <c r="F46" s="645">
        <v>50</v>
      </c>
      <c r="G46" s="646">
        <v>4.38</v>
      </c>
      <c r="H46" s="647">
        <v>25</v>
      </c>
      <c r="I46" s="648" t="str">
        <f t="shared" si="0"/>
        <v>UDEN FOR OMRÅDET</v>
      </c>
      <c r="J46" s="649"/>
    </row>
    <row r="47" spans="1:15" hidden="1" x14ac:dyDescent="0.2">
      <c r="A47" s="650" t="s">
        <v>579</v>
      </c>
      <c r="B47" s="642"/>
      <c r="C47" s="642"/>
      <c r="D47" s="643"/>
      <c r="E47" s="643"/>
      <c r="F47" s="645">
        <v>50</v>
      </c>
      <c r="G47" s="646">
        <v>5.95</v>
      </c>
      <c r="H47" s="647">
        <v>35</v>
      </c>
      <c r="I47" s="648" t="str">
        <f t="shared" si="0"/>
        <v>UDEN FOR OMRÅDET</v>
      </c>
      <c r="J47" s="649"/>
    </row>
    <row r="48" spans="1:15" hidden="1" x14ac:dyDescent="0.2">
      <c r="A48" s="651" t="s">
        <v>580</v>
      </c>
      <c r="B48" s="642"/>
      <c r="C48" s="642"/>
      <c r="D48" s="643"/>
      <c r="E48" s="643"/>
      <c r="F48" s="645">
        <v>68</v>
      </c>
      <c r="G48" s="646">
        <v>5.3</v>
      </c>
      <c r="H48" s="647">
        <v>34</v>
      </c>
      <c r="I48" s="648" t="str">
        <f t="shared" si="0"/>
        <v>UDEN FOR OMRÅDET</v>
      </c>
      <c r="J48" s="649"/>
    </row>
    <row r="49" spans="1:10" hidden="1" x14ac:dyDescent="0.2">
      <c r="A49" s="650" t="s">
        <v>581</v>
      </c>
      <c r="B49" s="642"/>
      <c r="C49" s="642"/>
      <c r="D49" s="643"/>
      <c r="E49" s="643"/>
      <c r="F49" s="645">
        <v>68</v>
      </c>
      <c r="G49" s="646">
        <v>7</v>
      </c>
      <c r="H49" s="647">
        <v>43</v>
      </c>
      <c r="I49" s="648" t="str">
        <f t="shared" si="0"/>
        <v>UDEN FOR OMRÅDET</v>
      </c>
      <c r="J49" s="649"/>
    </row>
    <row r="50" spans="1:10" hidden="1" x14ac:dyDescent="0.2">
      <c r="A50" s="651" t="s">
        <v>605</v>
      </c>
      <c r="B50" s="642"/>
      <c r="C50" s="642"/>
      <c r="D50" s="643"/>
      <c r="E50" s="643"/>
      <c r="F50" s="645">
        <v>115</v>
      </c>
      <c r="G50" s="646">
        <v>12.1</v>
      </c>
      <c r="H50" s="647">
        <v>68</v>
      </c>
      <c r="I50" s="648" t="str">
        <f t="shared" si="0"/>
        <v>UDEN FOR OMRÅDET</v>
      </c>
      <c r="J50" s="649"/>
    </row>
    <row r="51" spans="1:10" hidden="1" x14ac:dyDescent="0.2">
      <c r="A51" s="650" t="s">
        <v>606</v>
      </c>
      <c r="B51" s="642"/>
      <c r="C51" s="642"/>
      <c r="D51" s="643"/>
      <c r="E51" s="643"/>
      <c r="F51" s="645">
        <v>115</v>
      </c>
      <c r="G51" s="646">
        <v>14.8</v>
      </c>
      <c r="H51" s="647">
        <v>90</v>
      </c>
      <c r="I51" s="648" t="str">
        <f t="shared" si="0"/>
        <v>UDEN FOR OMRÅDET</v>
      </c>
      <c r="J51" s="649"/>
    </row>
    <row r="52" spans="1:10" hidden="1" x14ac:dyDescent="0.2">
      <c r="A52" s="651" t="s">
        <v>609</v>
      </c>
      <c r="B52" s="642"/>
      <c r="C52" s="642"/>
      <c r="D52" s="643"/>
      <c r="E52" s="643"/>
      <c r="F52" s="645">
        <v>167</v>
      </c>
      <c r="G52" s="538">
        <v>18.5</v>
      </c>
      <c r="H52" s="647">
        <v>110</v>
      </c>
      <c r="I52" s="648" t="str">
        <f t="shared" si="0"/>
        <v>UDEN FOR OMRÅDET</v>
      </c>
      <c r="J52" s="649"/>
    </row>
    <row r="53" spans="1:10" hidden="1" x14ac:dyDescent="0.2">
      <c r="A53" s="650" t="s">
        <v>610</v>
      </c>
      <c r="B53" s="642"/>
      <c r="C53" s="642"/>
      <c r="D53" s="643"/>
      <c r="E53" s="643"/>
      <c r="F53" s="645">
        <v>167</v>
      </c>
      <c r="G53" s="538">
        <v>23</v>
      </c>
      <c r="H53" s="647">
        <v>135</v>
      </c>
      <c r="I53" s="648" t="str">
        <f t="shared" si="0"/>
        <v>UDEN FOR OMRÅDET</v>
      </c>
      <c r="J53" s="649"/>
    </row>
    <row r="54" spans="1:10" hidden="1" x14ac:dyDescent="0.2">
      <c r="A54" s="651" t="s">
        <v>617</v>
      </c>
      <c r="B54" s="642"/>
      <c r="C54" s="642"/>
      <c r="D54" s="643"/>
      <c r="E54" s="643"/>
      <c r="F54" s="645">
        <v>250</v>
      </c>
      <c r="G54" s="538">
        <v>25.6</v>
      </c>
      <c r="H54" s="647">
        <v>148</v>
      </c>
      <c r="I54" s="648" t="str">
        <f t="shared" si="0"/>
        <v>UDEN FOR OMRÅDET</v>
      </c>
      <c r="J54" s="649"/>
    </row>
    <row r="55" spans="1:10" hidden="1" x14ac:dyDescent="0.2">
      <c r="A55" s="650" t="s">
        <v>619</v>
      </c>
      <c r="B55" s="642"/>
      <c r="C55" s="642"/>
      <c r="D55" s="643"/>
      <c r="E55" s="643"/>
      <c r="F55" s="645">
        <v>241.9</v>
      </c>
      <c r="G55" s="538">
        <v>32</v>
      </c>
      <c r="H55" s="647">
        <v>195</v>
      </c>
      <c r="I55" s="648" t="str">
        <f t="shared" si="0"/>
        <v>UDEN FOR OMRÅDET</v>
      </c>
      <c r="J55" s="649"/>
    </row>
    <row r="56" spans="1:10" hidden="1" x14ac:dyDescent="0.2">
      <c r="A56" s="651" t="s">
        <v>668</v>
      </c>
      <c r="B56" s="642"/>
      <c r="C56" s="642"/>
      <c r="D56" s="643"/>
      <c r="E56" s="643"/>
      <c r="F56" s="645">
        <v>371</v>
      </c>
      <c r="G56" s="538">
        <v>95</v>
      </c>
      <c r="H56" s="647">
        <v>210</v>
      </c>
      <c r="I56" s="648" t="str">
        <f>IF($B$6&lt;G56,"UDEN FOR OMRÅDET",IF($B$6&gt;H56,"UDEN FOR OMRÅDET",$B$6))</f>
        <v>UDEN FOR OMRÅDET</v>
      </c>
      <c r="J56" s="649"/>
    </row>
    <row r="57" spans="1:10" hidden="1" x14ac:dyDescent="0.2">
      <c r="A57" s="650" t="s">
        <v>669</v>
      </c>
      <c r="B57" s="642"/>
      <c r="C57" s="642"/>
      <c r="D57" s="643"/>
      <c r="E57" s="643"/>
      <c r="F57" s="645">
        <v>317</v>
      </c>
      <c r="G57" s="538">
        <v>130</v>
      </c>
      <c r="H57" s="647">
        <v>280</v>
      </c>
      <c r="I57" s="648">
        <f>IF($B$6&lt;G57,"UDEN FOR OMRÅDET",IF($B$6&gt;H57,"UDEN FOR OMRÅDET",$B$6))</f>
        <v>250</v>
      </c>
      <c r="J57" s="649"/>
    </row>
    <row r="58" spans="1:10" hidden="1" x14ac:dyDescent="0.2">
      <c r="A58" s="651" t="s">
        <v>686</v>
      </c>
      <c r="B58" s="642"/>
      <c r="C58" s="642"/>
      <c r="D58" s="643"/>
      <c r="E58" s="643"/>
      <c r="F58" s="645">
        <v>840</v>
      </c>
      <c r="G58" s="538">
        <v>190</v>
      </c>
      <c r="H58" s="647">
        <v>475</v>
      </c>
      <c r="I58" s="648">
        <f t="shared" ref="I58:I61" si="1">IF($B$6&lt;G58,"UDEN FOR OMRÅDET",IF($B$6&gt;H58,"UDEN FOR OMRÅDET",$B$6))</f>
        <v>250</v>
      </c>
      <c r="J58" s="649"/>
    </row>
    <row r="59" spans="1:10" hidden="1" x14ac:dyDescent="0.2">
      <c r="A59" s="650" t="s">
        <v>687</v>
      </c>
      <c r="B59" s="642"/>
      <c r="C59" s="642"/>
      <c r="D59" s="643"/>
      <c r="E59" s="643"/>
      <c r="F59" s="645">
        <v>717</v>
      </c>
      <c r="G59" s="538">
        <v>245</v>
      </c>
      <c r="H59" s="647">
        <v>600</v>
      </c>
      <c r="I59" s="648">
        <f t="shared" si="1"/>
        <v>250</v>
      </c>
      <c r="J59" s="649"/>
    </row>
    <row r="60" spans="1:10" hidden="1" x14ac:dyDescent="0.2">
      <c r="A60" s="651" t="s">
        <v>688</v>
      </c>
      <c r="B60" s="642"/>
      <c r="C60" s="642"/>
      <c r="D60" s="643"/>
      <c r="E60" s="643"/>
      <c r="F60" s="645">
        <v>840</v>
      </c>
      <c r="G60" s="538">
        <v>190</v>
      </c>
      <c r="H60" s="647">
        <v>475</v>
      </c>
      <c r="I60" s="648">
        <f t="shared" si="1"/>
        <v>250</v>
      </c>
      <c r="J60" s="649"/>
    </row>
    <row r="61" spans="1:10" hidden="1" x14ac:dyDescent="0.2">
      <c r="A61" s="650" t="s">
        <v>689</v>
      </c>
      <c r="B61" s="642"/>
      <c r="C61" s="642"/>
      <c r="D61" s="643"/>
      <c r="E61" s="643"/>
      <c r="F61" s="645">
        <v>717</v>
      </c>
      <c r="G61" s="538">
        <v>245</v>
      </c>
      <c r="H61" s="647">
        <v>600</v>
      </c>
      <c r="I61" s="648">
        <f t="shared" si="1"/>
        <v>250</v>
      </c>
      <c r="J61" s="649"/>
    </row>
  </sheetData>
  <sheetProtection sheet="1" objects="1" scenarios="1"/>
  <mergeCells count="6">
    <mergeCell ref="A1:I1"/>
    <mergeCell ref="A2:J2"/>
    <mergeCell ref="A9:A10"/>
    <mergeCell ref="B9:C9"/>
    <mergeCell ref="D9:E9"/>
    <mergeCell ref="A41:J41"/>
  </mergeCells>
  <pageMargins left="0.78740157480314965" right="0.39370078740157483" top="0.98425196850393704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zoomScaleNormal="100" workbookViewId="0">
      <selection activeCell="O25" sqref="O25"/>
    </sheetView>
  </sheetViews>
  <sheetFormatPr defaultColWidth="8.85546875" defaultRowHeight="12.75" x14ac:dyDescent="0.2"/>
  <cols>
    <col min="1" max="2" width="14.28515625" customWidth="1"/>
    <col min="3" max="3" width="15.7109375" customWidth="1"/>
    <col min="4" max="4" width="16.42578125" customWidth="1"/>
    <col min="5" max="5" width="15.7109375" hidden="1" customWidth="1"/>
    <col min="6" max="6" width="15.7109375" customWidth="1"/>
    <col min="7" max="8" width="10.7109375" customWidth="1"/>
    <col min="9" max="9" width="7.140625" hidden="1" customWidth="1"/>
    <col min="10" max="10" width="10.7109375" customWidth="1"/>
    <col min="11" max="11" width="20.42578125" bestFit="1" customWidth="1"/>
    <col min="15" max="16" width="20.28515625" bestFit="1" customWidth="1"/>
  </cols>
  <sheetData>
    <row r="1" spans="1:12" ht="21" thickTop="1" x14ac:dyDescent="0.3">
      <c r="A1" s="719" t="s">
        <v>100</v>
      </c>
      <c r="B1" s="720"/>
      <c r="C1" s="720"/>
      <c r="D1" s="720"/>
      <c r="E1" s="720"/>
      <c r="F1" s="720"/>
      <c r="G1" s="720"/>
      <c r="H1" s="720"/>
      <c r="I1" s="720"/>
      <c r="J1" s="720"/>
      <c r="K1" s="529"/>
      <c r="L1" s="6"/>
    </row>
    <row r="2" spans="1:12" ht="21" thickBot="1" x14ac:dyDescent="0.35">
      <c r="A2" s="725" t="s">
        <v>101</v>
      </c>
      <c r="B2" s="726"/>
      <c r="C2" s="726"/>
      <c r="D2" s="726"/>
      <c r="E2" s="726"/>
      <c r="F2" s="726"/>
      <c r="G2" s="726"/>
      <c r="H2" s="726"/>
      <c r="I2" s="726"/>
      <c r="J2" s="726"/>
      <c r="K2" s="727"/>
      <c r="L2" s="6"/>
    </row>
    <row r="3" spans="1:12" ht="13.5" thickTop="1" x14ac:dyDescent="0.2">
      <c r="A3" s="22"/>
      <c r="B3" s="62"/>
      <c r="C3" s="62"/>
      <c r="D3" s="23"/>
      <c r="E3" s="23"/>
      <c r="F3" s="23"/>
      <c r="G3" s="23"/>
      <c r="H3" s="23"/>
      <c r="I3" s="23"/>
      <c r="J3" s="23"/>
      <c r="K3" s="24"/>
    </row>
    <row r="4" spans="1:12" ht="13.5" thickBot="1" x14ac:dyDescent="0.25">
      <c r="A4" s="26"/>
      <c r="B4" s="21" t="s">
        <v>25</v>
      </c>
      <c r="C4" s="10"/>
      <c r="D4" s="36"/>
      <c r="G4" s="10"/>
      <c r="H4" s="10"/>
      <c r="I4" s="10"/>
      <c r="J4" s="10"/>
      <c r="K4" s="25"/>
    </row>
    <row r="5" spans="1:12" hidden="1" x14ac:dyDescent="0.2">
      <c r="A5" s="37" t="s">
        <v>68</v>
      </c>
      <c r="B5" s="38">
        <v>20</v>
      </c>
      <c r="C5" s="28" t="s">
        <v>69</v>
      </c>
      <c r="G5" s="10"/>
      <c r="H5" s="10"/>
      <c r="I5" s="10"/>
      <c r="J5" s="10"/>
      <c r="K5" s="25"/>
    </row>
    <row r="6" spans="1:12" ht="13.5" thickBot="1" x14ac:dyDescent="0.25">
      <c r="A6" s="37" t="s">
        <v>57</v>
      </c>
      <c r="B6" s="536">
        <v>2204</v>
      </c>
      <c r="C6" s="28" t="s">
        <v>71</v>
      </c>
      <c r="D6" s="67"/>
      <c r="G6" s="10"/>
      <c r="H6" s="27"/>
      <c r="I6" s="10"/>
      <c r="J6" s="10"/>
      <c r="K6" s="25"/>
    </row>
    <row r="7" spans="1:12" x14ac:dyDescent="0.2">
      <c r="A7" s="26"/>
      <c r="B7" s="10"/>
      <c r="C7" s="10"/>
      <c r="G7" s="10"/>
      <c r="H7" s="27"/>
      <c r="I7" s="10"/>
      <c r="J7" s="10"/>
      <c r="K7" s="25"/>
    </row>
    <row r="8" spans="1:12" ht="13.5" thickBot="1" x14ac:dyDescent="0.25">
      <c r="A8" s="26"/>
      <c r="B8" s="10"/>
      <c r="C8" s="10"/>
      <c r="D8" s="10"/>
      <c r="E8" s="29"/>
      <c r="F8" s="10"/>
      <c r="G8" s="10"/>
      <c r="H8" s="10"/>
      <c r="I8" s="10"/>
      <c r="J8" s="10"/>
      <c r="K8" s="25"/>
    </row>
    <row r="9" spans="1:12" ht="13.5" thickTop="1" x14ac:dyDescent="0.2">
      <c r="A9" s="716" t="s">
        <v>24</v>
      </c>
      <c r="B9" s="729" t="s">
        <v>61</v>
      </c>
      <c r="C9" s="730"/>
      <c r="D9" s="714" t="s">
        <v>72</v>
      </c>
      <c r="E9" s="714"/>
      <c r="F9" s="715"/>
      <c r="G9" s="10"/>
      <c r="H9" s="10"/>
      <c r="I9" s="10"/>
      <c r="J9" s="10"/>
      <c r="K9" s="25"/>
    </row>
    <row r="10" spans="1:12" ht="13.5" thickBot="1" x14ac:dyDescent="0.25">
      <c r="A10" s="728"/>
      <c r="B10" s="582" t="s">
        <v>55</v>
      </c>
      <c r="C10" s="583" t="s">
        <v>102</v>
      </c>
      <c r="D10" s="90" t="s">
        <v>63</v>
      </c>
      <c r="E10" s="91" t="s">
        <v>73</v>
      </c>
      <c r="F10" s="92" t="s">
        <v>74</v>
      </c>
      <c r="G10" s="10"/>
      <c r="H10" s="10"/>
      <c r="I10" s="10"/>
      <c r="J10" s="10"/>
      <c r="K10" s="25"/>
    </row>
    <row r="11" spans="1:12" x14ac:dyDescent="0.2">
      <c r="A11" s="584" t="s">
        <v>103</v>
      </c>
      <c r="B11" s="585" t="s">
        <v>104</v>
      </c>
      <c r="C11" s="585" t="s">
        <v>93</v>
      </c>
      <c r="D11" s="93" t="str">
        <f>IF(J39="UDEN FOR OMRÅDET","NOT POSSIBLE",IF(K39="UDEN FOR OMRÅDET","NOT POSSIBLE",(0.006398*B6)))</f>
        <v>NOT POSSIBLE</v>
      </c>
      <c r="E11" s="94" t="e">
        <f>-0.000498*D11^5+0.005871*D11^4-0.024468*D11^3+0.037541*D11^2+0.381317*D11+0.010176</f>
        <v>#VALUE!</v>
      </c>
      <c r="F11" s="73" t="str">
        <f>IF(J39="UDEN FOR OMRÅDET","NOT POSSIBLE",IF($B$6&lt;80,14,(((($B$6/1000)/E11)^2)*100)))</f>
        <v>NOT POSSIBLE</v>
      </c>
      <c r="G11" s="10"/>
      <c r="H11" s="10"/>
      <c r="I11" s="10"/>
      <c r="J11" s="10"/>
      <c r="K11" s="25"/>
    </row>
    <row r="12" spans="1:12" x14ac:dyDescent="0.2">
      <c r="A12" s="580" t="s">
        <v>105</v>
      </c>
      <c r="B12" s="279" t="s">
        <v>106</v>
      </c>
      <c r="C12" s="279" t="s">
        <v>93</v>
      </c>
      <c r="D12" s="72" t="str">
        <f>IF(J40="UDEN FOR OMRÅDET","NOT POSSIBLE",IF(K40="UDEN FOR OMRÅDET","NOT POSSIBLE",(1.5247152E-18*B6^6-8.2348324758E-15*B6^5+1.77995508585783E-11*B6^4-1.9235480640142E-08*B6^3+0.0000108015895489203*B6^2-0.0010007046626199*B6+0.323878177531235)))</f>
        <v>NOT POSSIBLE</v>
      </c>
      <c r="E12" s="40" t="e">
        <f>-0.0039861079*D12^6+0.0576732375*D12^5-0.3302802366*D12^4+0.9223643621*D12^3-1.3894548228*D12^2+2.3343882681*D12-0.2516773097</f>
        <v>#VALUE!</v>
      </c>
      <c r="F12" s="73" t="str">
        <f>IF(J40="UDEN FOR OMRÅDET","NOT POSSIBLE",IF($B$6&lt;50,14,(((($B$6/1000)/E12)^2)*100)))</f>
        <v>NOT POSSIBLE</v>
      </c>
      <c r="G12" s="10"/>
      <c r="H12" s="10"/>
      <c r="I12" s="10"/>
      <c r="J12" s="10"/>
      <c r="K12" s="25"/>
    </row>
    <row r="13" spans="1:12" x14ac:dyDescent="0.2">
      <c r="A13" s="579" t="s">
        <v>107</v>
      </c>
      <c r="B13" s="568" t="s">
        <v>108</v>
      </c>
      <c r="C13" s="568" t="s">
        <v>93</v>
      </c>
      <c r="D13" s="72" t="str">
        <f>IF(J41="UDEN FOR OMRÅDET","NOT POSSIBLE",IF(K41="UDEN FOR OMRÅDET","NOT POSSIBLE",(0.00380952380952*B6)))</f>
        <v>NOT POSSIBLE</v>
      </c>
      <c r="E13" s="40" t="e">
        <f>-0.0086*D13^2+0.6881*D13+0.0087</f>
        <v>#VALUE!</v>
      </c>
      <c r="F13" s="73" t="str">
        <f>IF(J41="UDEN FOR OMRÅDET","NOT POSSIBLE",IF($B$6&lt;50,12,(((($B$6/1000)/E13)^2)*100)))</f>
        <v>NOT POSSIBLE</v>
      </c>
      <c r="G13" s="10"/>
      <c r="H13" s="10"/>
      <c r="I13" s="10"/>
      <c r="J13" s="10"/>
      <c r="K13" s="25"/>
    </row>
    <row r="14" spans="1:12" x14ac:dyDescent="0.2">
      <c r="A14" s="580" t="s">
        <v>109</v>
      </c>
      <c r="B14" s="279" t="s">
        <v>110</v>
      </c>
      <c r="C14" s="279" t="s">
        <v>111</v>
      </c>
      <c r="D14" s="72" t="str">
        <f>IF(J42="UDEN FOR OMRÅDET","NOT POSSIBLE",IF(K42="UDEN FOR OMRÅDET","NOT POSSIBLE",(0.000000000000578*B6^4-0.000000002249803*B6^3+0.000002989997209*B6^2+0.000191821643646*B6+0.246094550041393)))</f>
        <v>NOT POSSIBLE</v>
      </c>
      <c r="E14" s="40" t="e">
        <f>-0.0014892869*D14^6+0.0257700614*D14^5-0.1995231772*D14^4+0.7772951529*D14^3-1.6065084156*D14^2+2.8484843634*D14-0.2996802496</f>
        <v>#VALUE!</v>
      </c>
      <c r="F14" s="73" t="str">
        <f>IF(J42="UDEN FOR OMRÅDET","NOT POSSIBLE",IF($B$6&lt;250,12,(((($B$6/1000)/E14)^2)*100)))</f>
        <v>NOT POSSIBLE</v>
      </c>
      <c r="G14" s="10"/>
      <c r="H14" s="10"/>
      <c r="I14" s="10"/>
      <c r="J14" s="10"/>
      <c r="K14" s="25"/>
    </row>
    <row r="15" spans="1:12" x14ac:dyDescent="0.2">
      <c r="A15" s="579" t="s">
        <v>112</v>
      </c>
      <c r="B15" s="568" t="s">
        <v>113</v>
      </c>
      <c r="C15" s="568" t="s">
        <v>93</v>
      </c>
      <c r="D15" s="72" t="str">
        <f>IF(J43="UDEN FOR OMRÅDET","NOT POSSIBLE",IF(K43="UDEN FOR OMRÅDET","NOT POSSIBLE",(0.000000000000879*B6^4-0.0000000026564*B6^3+0.000002790146767*B6^2+0.000779022750185*B6+0.204989267294888)))</f>
        <v>NOT POSSIBLE</v>
      </c>
      <c r="E15" s="40" t="e">
        <f>0.0002*D15^4-0.0403*D15^3+0.1197*D15^2+1.2343*D15-0.0137</f>
        <v>#VALUE!</v>
      </c>
      <c r="F15" s="73" t="str">
        <f>IF(J43="UDEN FOR OMRÅDET","NOT POSSIBLE",IF($B$6&lt;240,13.5,(((($B$6/1000)/E15)^2)*100)))</f>
        <v>NOT POSSIBLE</v>
      </c>
      <c r="G15" s="10"/>
      <c r="H15" s="10"/>
      <c r="I15" s="10"/>
      <c r="J15" s="10"/>
      <c r="K15" s="25"/>
    </row>
    <row r="16" spans="1:12" x14ac:dyDescent="0.2">
      <c r="A16" s="580" t="s">
        <v>114</v>
      </c>
      <c r="B16" s="279" t="s">
        <v>110</v>
      </c>
      <c r="C16" s="279" t="s">
        <v>93</v>
      </c>
      <c r="D16" s="72" t="str">
        <f>IF(J44="UDEN FOR OMRÅDET","NOT POSSIBLE",IF(K44="UDEN FOR OMRÅDET","NOT POSSIBLE",(0.0000000000005607*B6^4-0.0000000022474923*B6^3+0.0000031352071003*B6^2-0.0000239414697848*B6+0.326255940065591)))</f>
        <v>NOT POSSIBLE</v>
      </c>
      <c r="E16" s="40" t="e">
        <f xml:space="preserve"> -0.0295*D16^4+0.235*D16^3-0.7397*D16^2+2.2089*D16-0.1367</f>
        <v>#VALUE!</v>
      </c>
      <c r="F16" s="73" t="str">
        <f>IF(J44="UDEN FOR OMRÅDET","NOT POSSIBLE",IF($B$6&lt;440,13.5,(((($B$6/1000)/E16)^2)*100)))</f>
        <v>NOT POSSIBLE</v>
      </c>
      <c r="G16" s="10"/>
      <c r="H16" s="10"/>
      <c r="I16" s="10"/>
      <c r="J16" s="10"/>
      <c r="K16" s="25"/>
    </row>
    <row r="17" spans="1:11" x14ac:dyDescent="0.2">
      <c r="A17" s="579" t="s">
        <v>91</v>
      </c>
      <c r="B17" s="568" t="s">
        <v>115</v>
      </c>
      <c r="C17" s="568" t="s">
        <v>93</v>
      </c>
      <c r="D17" s="72">
        <f>IF(J45="UDEN FOR OMRÅDET","NOT POSSIBLE",IF(K45="UDEN FOR OMRÅDET","NOT POSSIBLE",(0.000000000000082*B6^4-0.000000000447909*B6^3+0.000000882571919*B6^2+0.000393485172707*B6+0.170008718433059)))</f>
        <v>2.4639561220712078</v>
      </c>
      <c r="E17" s="40">
        <f>-0.0009*D17^4-0.0408*D17^3+0.0532*D17^2+2.2639*D17+0.1485</f>
        <v>5.4061374338092785</v>
      </c>
      <c r="F17" s="73">
        <f>IF(J45="UDEN FOR OMRÅDET","NOT POSSIBLE",IF($B$6&lt;600,14,(((($B$6/1000)/E17)^2)*100)))</f>
        <v>16.620688733166073</v>
      </c>
      <c r="G17" s="10"/>
      <c r="H17" s="10"/>
      <c r="I17" s="10"/>
      <c r="J17" s="10"/>
      <c r="K17" s="25"/>
    </row>
    <row r="18" spans="1:11" x14ac:dyDescent="0.2">
      <c r="A18" s="580" t="s">
        <v>94</v>
      </c>
      <c r="B18" s="279" t="s">
        <v>116</v>
      </c>
      <c r="C18" s="279" t="s">
        <v>80</v>
      </c>
      <c r="D18" s="72">
        <f>IF(J46="UDEN FOR OMRÅDET","NOT POSSIBLE",IF(K46="UDEN FOR OMRÅDET","NOT POSSIBLE",IF(B6&gt;7050,4,(1.991E-21*B6^6-5.04426806E-17*B6^5+5.194999038249E-13*B6^4-2.7718399824566E-09*B6^3+0.0000080806755838486*B6^2-0.0118695972480039*B6+7.26406638121848))))</f>
        <v>0.54366834668613162</v>
      </c>
      <c r="E18" s="40">
        <f>0.0314*D18^4+0.0298*D18^3-2.4926*D18^2+10.917*D18+0.215</f>
        <v>5.4210083812601182</v>
      </c>
      <c r="F18" s="73">
        <f>IF(J46="UDEN FOR OMRÅDET","NOT POSSIBLE",IF($B$6&lt;2068,16,(((($B$6/1000)/E18)^2)*100)))</f>
        <v>16.529625831767756</v>
      </c>
      <c r="G18" s="10"/>
      <c r="H18" s="10"/>
      <c r="I18" s="10"/>
      <c r="J18" s="10"/>
      <c r="K18" s="25"/>
    </row>
    <row r="19" spans="1:11" ht="13.5" thickBot="1" x14ac:dyDescent="0.25">
      <c r="A19" s="581" t="s">
        <v>97</v>
      </c>
      <c r="B19" s="573" t="s">
        <v>117</v>
      </c>
      <c r="C19" s="573" t="s">
        <v>118</v>
      </c>
      <c r="D19" s="74">
        <f>IF(J47="UDEN FOR OMRÅDET","NOT POSSIBLE",IF(K47="UDEN FOR OMRÅDET","NOT POSSIBLE",IF(B6&gt;8450,4,(1.259599584E-21*B6^6-3.8397324403082E-17*B6^5+4.73777385425659E-13*B6^4-3.01075699136702E-09*B6^3+0.0000103574489737108*B6^2-0.0180028315642146*B6+12.784869126445))))</f>
        <v>0.5123377037145378</v>
      </c>
      <c r="E19" s="43">
        <f>0.027692*D19^5-0.37669*D19^4+2.212005*D19^3-7.704196*D19^2+16.629417*D19-1.55</f>
        <v>5.2201048879559995</v>
      </c>
      <c r="F19" s="44">
        <f>IF(J47="UDEN FOR OMRÅDET","NOT POSSIBLE",IF($B$6&lt;2265,19,(((($B$6/1000)/E19)^2)*100)))</f>
        <v>19</v>
      </c>
      <c r="G19" s="10"/>
      <c r="H19" s="10"/>
      <c r="I19" s="10"/>
      <c r="J19" s="10"/>
      <c r="K19" s="25"/>
    </row>
    <row r="20" spans="1:11" ht="13.5" thickTop="1" x14ac:dyDescent="0.2">
      <c r="A20" s="26"/>
      <c r="B20" s="10"/>
      <c r="C20" s="10"/>
      <c r="D20" s="10"/>
      <c r="E20" s="30"/>
      <c r="F20" s="10"/>
      <c r="G20" s="10"/>
      <c r="H20" s="10"/>
      <c r="I20" s="10"/>
      <c r="J20" s="10"/>
      <c r="K20" s="25"/>
    </row>
    <row r="21" spans="1:11" x14ac:dyDescent="0.2">
      <c r="A21" s="26"/>
      <c r="B21" s="10"/>
      <c r="C21" s="10"/>
      <c r="D21" s="10"/>
      <c r="E21" s="36"/>
      <c r="F21" s="36"/>
      <c r="G21" s="10"/>
      <c r="H21" s="10"/>
      <c r="I21" s="10"/>
      <c r="J21" s="10"/>
      <c r="K21" s="25"/>
    </row>
    <row r="22" spans="1:11" x14ac:dyDescent="0.2">
      <c r="A22" s="26"/>
      <c r="B22" s="10"/>
      <c r="C22" s="10"/>
      <c r="D22" s="10"/>
      <c r="E22" s="75"/>
      <c r="G22" s="10"/>
      <c r="H22" s="10"/>
      <c r="I22" s="10"/>
      <c r="J22" s="10"/>
      <c r="K22" s="25"/>
    </row>
    <row r="23" spans="1:11" x14ac:dyDescent="0.2">
      <c r="A23" s="26"/>
      <c r="B23" s="10"/>
      <c r="C23" s="10"/>
      <c r="D23" s="10"/>
      <c r="E23" s="76"/>
      <c r="G23" s="10"/>
      <c r="H23" s="10"/>
      <c r="I23" s="10"/>
      <c r="J23" s="10"/>
      <c r="K23" s="25"/>
    </row>
    <row r="24" spans="1:11" x14ac:dyDescent="0.2">
      <c r="A24" s="26"/>
      <c r="B24" s="10"/>
      <c r="C24" s="10"/>
      <c r="D24" s="10"/>
      <c r="E24" s="76"/>
      <c r="G24" s="10"/>
      <c r="H24" s="10"/>
      <c r="I24" s="10"/>
      <c r="J24" s="10"/>
      <c r="K24" s="25"/>
    </row>
    <row r="25" spans="1:11" x14ac:dyDescent="0.2">
      <c r="A25" s="26"/>
      <c r="B25" s="10"/>
      <c r="C25" s="10"/>
      <c r="D25" s="10"/>
      <c r="E25" s="76"/>
      <c r="G25" s="10"/>
      <c r="H25" s="10"/>
      <c r="I25" s="10"/>
      <c r="J25" s="10"/>
      <c r="K25" s="25"/>
    </row>
    <row r="26" spans="1:11" x14ac:dyDescent="0.2">
      <c r="A26" s="26"/>
      <c r="B26" s="10"/>
      <c r="C26" s="10"/>
      <c r="D26" s="10"/>
      <c r="E26" s="76"/>
      <c r="G26" s="10"/>
      <c r="H26" s="10"/>
      <c r="I26" s="10"/>
      <c r="J26" s="10"/>
      <c r="K26" s="25"/>
    </row>
    <row r="27" spans="1:11" x14ac:dyDescent="0.2">
      <c r="A27" s="26"/>
      <c r="B27" s="10"/>
      <c r="C27" s="10"/>
      <c r="D27" s="10"/>
      <c r="E27" s="76"/>
      <c r="G27" s="10"/>
      <c r="H27" s="10"/>
      <c r="I27" s="10"/>
      <c r="J27" s="10"/>
      <c r="K27" s="25"/>
    </row>
    <row r="28" spans="1:11" x14ac:dyDescent="0.2">
      <c r="A28" s="26"/>
      <c r="B28" s="10"/>
      <c r="C28" s="10"/>
      <c r="D28" s="10"/>
      <c r="E28" s="76"/>
      <c r="G28" s="10"/>
      <c r="H28" s="10"/>
      <c r="I28" s="10"/>
      <c r="J28" s="10"/>
      <c r="K28" s="25"/>
    </row>
    <row r="29" spans="1:11" x14ac:dyDescent="0.2">
      <c r="A29" s="26"/>
      <c r="B29" s="10"/>
      <c r="C29" s="10"/>
      <c r="D29" s="10"/>
      <c r="E29" s="76"/>
      <c r="G29" s="10"/>
      <c r="H29" s="10"/>
      <c r="I29" s="10"/>
      <c r="J29" s="10"/>
      <c r="K29" s="25"/>
    </row>
    <row r="30" spans="1:11" x14ac:dyDescent="0.2">
      <c r="A30" s="26"/>
      <c r="B30" s="10"/>
      <c r="C30" s="10"/>
      <c r="D30" s="10"/>
      <c r="E30" s="76"/>
      <c r="G30" s="10"/>
      <c r="H30" s="10"/>
      <c r="I30" s="10"/>
      <c r="J30" s="10"/>
      <c r="K30" s="25"/>
    </row>
    <row r="31" spans="1:11" x14ac:dyDescent="0.2">
      <c r="A31" s="26"/>
      <c r="B31" s="10"/>
      <c r="C31" s="10"/>
      <c r="D31" s="10"/>
      <c r="E31" s="76"/>
      <c r="G31" s="10"/>
      <c r="H31" s="10"/>
      <c r="I31" s="10"/>
      <c r="J31" s="10"/>
      <c r="K31" s="25"/>
    </row>
    <row r="32" spans="1:11" x14ac:dyDescent="0.2">
      <c r="A32" s="26"/>
      <c r="B32" s="10"/>
      <c r="C32" s="10"/>
      <c r="D32" s="10"/>
      <c r="E32" s="10"/>
      <c r="F32" s="31"/>
      <c r="G32" s="10"/>
      <c r="H32" s="10"/>
      <c r="I32" s="10"/>
      <c r="J32" s="10"/>
      <c r="K32" s="25"/>
    </row>
    <row r="33" spans="1:16" ht="13.5" thickBot="1" x14ac:dyDescent="0.25">
      <c r="A33" s="32" t="s">
        <v>65</v>
      </c>
      <c r="B33" s="34"/>
      <c r="C33" s="34"/>
      <c r="D33" s="33"/>
      <c r="E33" s="33"/>
      <c r="F33" s="34"/>
      <c r="G33" s="34"/>
      <c r="H33" s="34"/>
      <c r="I33" s="34"/>
      <c r="J33" s="34"/>
      <c r="K33" s="35"/>
    </row>
    <row r="34" spans="1:16" ht="10.5" customHeight="1" thickTop="1" x14ac:dyDescent="0.2">
      <c r="D34" s="77"/>
      <c r="E34" s="77"/>
    </row>
    <row r="35" spans="1:16" hidden="1" x14ac:dyDescent="0.2">
      <c r="D35" s="77"/>
      <c r="E35" s="77"/>
    </row>
    <row r="36" spans="1:16" s="4" customFormat="1" ht="31.5" hidden="1" customHeight="1" x14ac:dyDescent="0.4">
      <c r="A36" s="712" t="s">
        <v>11</v>
      </c>
      <c r="B36" s="712"/>
      <c r="C36" s="712"/>
      <c r="D36" s="713"/>
      <c r="E36" s="713"/>
      <c r="F36" s="713"/>
      <c r="G36" s="713"/>
      <c r="H36" s="713"/>
      <c r="I36" s="713"/>
      <c r="J36" s="713"/>
      <c r="K36" s="713"/>
      <c r="L36" s="7"/>
      <c r="M36" s="5"/>
      <c r="N36" s="5"/>
      <c r="O36" s="5"/>
      <c r="P36" s="5"/>
    </row>
    <row r="37" spans="1:16" ht="13.5" hidden="1" thickBot="1" x14ac:dyDescent="0.25"/>
    <row r="38" spans="1:16" ht="13.5" hidden="1" thickTop="1" x14ac:dyDescent="0.2">
      <c r="A38" s="11" t="s">
        <v>0</v>
      </c>
      <c r="B38" s="64"/>
      <c r="C38" s="64"/>
      <c r="D38" s="12" t="s">
        <v>1</v>
      </c>
      <c r="E38" s="12" t="s">
        <v>2</v>
      </c>
      <c r="F38" s="12" t="s">
        <v>3</v>
      </c>
      <c r="G38" s="12" t="s">
        <v>8</v>
      </c>
      <c r="H38" s="12" t="s">
        <v>4</v>
      </c>
      <c r="I38" s="12" t="s">
        <v>5</v>
      </c>
      <c r="J38" s="13" t="s">
        <v>6</v>
      </c>
      <c r="K38" s="14" t="s">
        <v>7</v>
      </c>
    </row>
    <row r="39" spans="1:16" hidden="1" x14ac:dyDescent="0.2">
      <c r="A39" s="15" t="s">
        <v>103</v>
      </c>
      <c r="B39" s="65"/>
      <c r="C39" s="65"/>
      <c r="D39" s="8"/>
      <c r="E39" s="78"/>
      <c r="F39" s="79"/>
      <c r="G39" s="80">
        <v>1.6</v>
      </c>
      <c r="H39" s="45">
        <v>78</v>
      </c>
      <c r="I39" s="1">
        <v>625</v>
      </c>
      <c r="J39" s="2" t="str">
        <f t="shared" ref="J39:J47" si="0">IF($B$6&lt;=H39-1,"UDEN FOR OMRÅDET",IF($B$6&gt;=I39+1,"UDEN FOR OMRÅDET",$B$6))</f>
        <v>UDEN FOR OMRÅDET</v>
      </c>
      <c r="K39" s="16">
        <f>IF($B$5&lt;=13,"UDEN FOR OMRÅDET",IF($B$5&gt;=401,"UDEN FOR OMRÅDET",$B$5))</f>
        <v>20</v>
      </c>
    </row>
    <row r="40" spans="1:16" hidden="1" x14ac:dyDescent="0.2">
      <c r="A40" s="15" t="s">
        <v>105</v>
      </c>
      <c r="B40" s="65"/>
      <c r="C40" s="65"/>
      <c r="D40" s="8"/>
      <c r="E40" s="78"/>
      <c r="F40" s="81"/>
      <c r="G40" s="80">
        <v>4.0999999999999996</v>
      </c>
      <c r="H40" s="45">
        <v>244</v>
      </c>
      <c r="I40" s="1">
        <v>1724</v>
      </c>
      <c r="J40" s="2" t="str">
        <f t="shared" si="0"/>
        <v>UDEN FOR OMRÅDET</v>
      </c>
      <c r="K40" s="16">
        <f>IF($B$5&lt;=13,"UDEN FOR OMRÅDET",IF($B$5&gt;=401,"UDEN FOR OMRÅDET",$B$5))</f>
        <v>20</v>
      </c>
    </row>
    <row r="41" spans="1:16" hidden="1" x14ac:dyDescent="0.2">
      <c r="A41" s="15" t="s">
        <v>107</v>
      </c>
      <c r="B41" s="65"/>
      <c r="C41" s="65"/>
      <c r="D41" s="8"/>
      <c r="E41" s="78"/>
      <c r="F41" s="81"/>
      <c r="G41" s="80">
        <v>2.6</v>
      </c>
      <c r="H41" s="45">
        <v>131</v>
      </c>
      <c r="I41" s="1">
        <v>1050</v>
      </c>
      <c r="J41" s="2" t="str">
        <f t="shared" si="0"/>
        <v>UDEN FOR OMRÅDET</v>
      </c>
      <c r="K41" s="16">
        <f>IF($B$5&lt;=13,"UDEN FOR OMRÅDET",IF($B$5&gt;=401,"UDEN FOR OMRÅDET",$B$5))</f>
        <v>20</v>
      </c>
    </row>
    <row r="42" spans="1:16" hidden="1" x14ac:dyDescent="0.2">
      <c r="A42" s="15" t="s">
        <v>109</v>
      </c>
      <c r="B42" s="65"/>
      <c r="C42" s="65"/>
      <c r="D42" s="8"/>
      <c r="E42" s="78"/>
      <c r="F42" s="81"/>
      <c r="G42" s="80">
        <v>4.3</v>
      </c>
      <c r="H42" s="45">
        <v>292</v>
      </c>
      <c r="I42" s="1">
        <v>2039</v>
      </c>
      <c r="J42" s="2" t="str">
        <f t="shared" si="0"/>
        <v>UDEN FOR OMRÅDET</v>
      </c>
      <c r="K42" s="16">
        <f>IF($B$5&lt;=13,"UDEN FOR OMRÅDET",IF($B$5&gt;=401,"UDEN FOR OMRÅDET",$B$5))</f>
        <v>20</v>
      </c>
    </row>
    <row r="43" spans="1:16" hidden="1" x14ac:dyDescent="0.2">
      <c r="A43" s="15" t="s">
        <v>112</v>
      </c>
      <c r="B43" s="65"/>
      <c r="C43" s="65"/>
      <c r="D43" s="8"/>
      <c r="E43" s="78"/>
      <c r="F43" s="81"/>
      <c r="G43" s="80">
        <v>4.3</v>
      </c>
      <c r="H43" s="45">
        <v>231</v>
      </c>
      <c r="I43" s="1">
        <v>1722</v>
      </c>
      <c r="J43" s="2" t="str">
        <f t="shared" si="0"/>
        <v>UDEN FOR OMRÅDET</v>
      </c>
      <c r="K43" s="16">
        <f>IF($B$5&lt;=13,"UDEN FOR OMRÅDET",IF($B$5&gt;=401,"UDEN FOR OMRÅDET",$B$5))</f>
        <v>20</v>
      </c>
    </row>
    <row r="44" spans="1:16" hidden="1" x14ac:dyDescent="0.2">
      <c r="A44" s="15" t="s">
        <v>114</v>
      </c>
      <c r="B44" s="65"/>
      <c r="C44" s="65"/>
      <c r="D44" s="8"/>
      <c r="E44" s="78"/>
      <c r="F44" s="81"/>
      <c r="G44" s="80">
        <v>4.3</v>
      </c>
      <c r="H44" s="45">
        <v>292</v>
      </c>
      <c r="I44" s="1">
        <v>2039</v>
      </c>
      <c r="J44" s="2" t="str">
        <f t="shared" si="0"/>
        <v>UDEN FOR OMRÅDET</v>
      </c>
      <c r="K44" s="16">
        <f>IF($B$5&lt;=14,"UDEN FOR OMRÅDET",IF($B$5&gt;=401,"UDEN FOR OMRÅDET",$B$5))</f>
        <v>20</v>
      </c>
    </row>
    <row r="45" spans="1:16" hidden="1" x14ac:dyDescent="0.2">
      <c r="A45" s="15" t="s">
        <v>91</v>
      </c>
      <c r="B45" s="65"/>
      <c r="C45" s="65"/>
      <c r="D45" s="8"/>
      <c r="E45" s="78"/>
      <c r="F45" s="81"/>
      <c r="G45" s="80">
        <v>7.2</v>
      </c>
      <c r="H45" s="45">
        <v>465</v>
      </c>
      <c r="I45" s="1">
        <v>3056</v>
      </c>
      <c r="J45" s="2">
        <f t="shared" si="0"/>
        <v>2204</v>
      </c>
      <c r="K45" s="16">
        <f>IF($B$5&lt;=13,"UDEN FOR OMRÅDET",IF($B$5&gt;=401,"UDEN FOR OMRÅDET",$B$5))</f>
        <v>20</v>
      </c>
    </row>
    <row r="46" spans="1:16" hidden="1" x14ac:dyDescent="0.2">
      <c r="A46" s="15" t="s">
        <v>94</v>
      </c>
      <c r="B46" s="65"/>
      <c r="C46" s="65"/>
      <c r="D46" s="8"/>
      <c r="E46" s="82"/>
      <c r="F46" s="83"/>
      <c r="G46" s="84">
        <v>13.9</v>
      </c>
      <c r="H46" s="2">
        <v>2022</v>
      </c>
      <c r="I46" s="2">
        <v>7105</v>
      </c>
      <c r="J46" s="2">
        <f t="shared" si="0"/>
        <v>2204</v>
      </c>
      <c r="K46" s="16">
        <f>IF($B$5&lt;=15,"UDEN FOR OMRÅDET",IF($B$5&gt;=401,"UDEN FOR OMRÅDET",$B$5))</f>
        <v>20</v>
      </c>
    </row>
    <row r="47" spans="1:16" ht="13.5" hidden="1" thickBot="1" x14ac:dyDescent="0.25">
      <c r="A47" s="17" t="s">
        <v>97</v>
      </c>
      <c r="B47" s="66"/>
      <c r="C47" s="66"/>
      <c r="D47" s="48"/>
      <c r="E47" s="85"/>
      <c r="F47" s="86"/>
      <c r="G47" s="87">
        <v>15.2</v>
      </c>
      <c r="H47" s="19">
        <v>2204</v>
      </c>
      <c r="I47" s="19">
        <v>8586</v>
      </c>
      <c r="J47" s="19">
        <f t="shared" si="0"/>
        <v>2204</v>
      </c>
      <c r="K47" s="20">
        <f>IF($B$5&lt;=18,"UDEN FOR OMRÅDET",IF($B$5&gt;=401,"UDEN FOR OMRÅDET",$B$5))</f>
        <v>20</v>
      </c>
    </row>
    <row r="48" spans="1:16" ht="13.5" hidden="1" thickTop="1" x14ac:dyDescent="0.2">
      <c r="A48" s="9"/>
      <c r="B48" s="9"/>
      <c r="C48" s="9"/>
      <c r="D48" s="10"/>
      <c r="E48" s="10"/>
      <c r="F48" s="10"/>
      <c r="G48" s="10"/>
      <c r="H48" s="10"/>
      <c r="I48" s="10"/>
      <c r="J48" s="10"/>
      <c r="K48" s="10"/>
    </row>
    <row r="51" spans="5:5" x14ac:dyDescent="0.2">
      <c r="E51" s="88"/>
    </row>
  </sheetData>
  <sheetProtection sheet="1" objects="1" scenarios="1"/>
  <mergeCells count="6">
    <mergeCell ref="A1:J1"/>
    <mergeCell ref="A36:K36"/>
    <mergeCell ref="A2:K2"/>
    <mergeCell ref="D9:F9"/>
    <mergeCell ref="A9:A10"/>
    <mergeCell ref="B9:C9"/>
  </mergeCells>
  <phoneticPr fontId="0" type="noConversion"/>
  <pageMargins left="0.78740157480314965" right="0.39370078740157483" top="0.98425196850393704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zoomScaleNormal="100" workbookViewId="0">
      <selection activeCell="B7" sqref="B7"/>
    </sheetView>
  </sheetViews>
  <sheetFormatPr defaultColWidth="8.85546875" defaultRowHeight="12.75" x14ac:dyDescent="0.2"/>
  <cols>
    <col min="1" max="1" width="23.7109375" customWidth="1"/>
    <col min="2" max="2" width="14.28515625" customWidth="1"/>
    <col min="3" max="3" width="15.7109375" customWidth="1"/>
    <col min="4" max="4" width="16.42578125" customWidth="1"/>
    <col min="5" max="5" width="15.7109375" customWidth="1"/>
    <col min="6" max="7" width="10.7109375" customWidth="1"/>
    <col min="8" max="8" width="7.140625" customWidth="1"/>
    <col min="9" max="9" width="10.7109375" customWidth="1"/>
    <col min="10" max="10" width="20.42578125" bestFit="1" customWidth="1"/>
    <col min="14" max="15" width="20.28515625" bestFit="1" customWidth="1"/>
  </cols>
  <sheetData>
    <row r="1" spans="1:11" ht="21" thickTop="1" x14ac:dyDescent="0.3">
      <c r="A1" s="719" t="s">
        <v>169</v>
      </c>
      <c r="B1" s="720"/>
      <c r="C1" s="720"/>
      <c r="D1" s="720"/>
      <c r="E1" s="720"/>
      <c r="F1" s="720"/>
      <c r="G1" s="720"/>
      <c r="H1" s="720"/>
      <c r="I1" s="720"/>
      <c r="J1" s="529"/>
      <c r="K1" s="6"/>
    </row>
    <row r="2" spans="1:11" ht="21" thickBot="1" x14ac:dyDescent="0.35">
      <c r="A2" s="725" t="s">
        <v>179</v>
      </c>
      <c r="B2" s="726"/>
      <c r="C2" s="726"/>
      <c r="D2" s="726"/>
      <c r="E2" s="726"/>
      <c r="F2" s="726"/>
      <c r="G2" s="726"/>
      <c r="H2" s="726"/>
      <c r="I2" s="726"/>
      <c r="J2" s="727"/>
      <c r="K2" s="6"/>
    </row>
    <row r="3" spans="1:11" ht="13.5" thickTop="1" x14ac:dyDescent="0.2">
      <c r="A3" s="22"/>
      <c r="B3" s="62"/>
      <c r="C3" s="62"/>
      <c r="D3" s="23"/>
      <c r="E3" s="23"/>
      <c r="F3" s="23"/>
      <c r="G3" s="23"/>
      <c r="H3" s="23"/>
      <c r="I3" s="23"/>
      <c r="J3" s="24"/>
    </row>
    <row r="4" spans="1:11" ht="13.5" thickBot="1" x14ac:dyDescent="0.25">
      <c r="A4" s="26"/>
      <c r="B4" s="21" t="s">
        <v>25</v>
      </c>
      <c r="C4" s="10"/>
      <c r="D4" s="36"/>
      <c r="F4" s="10"/>
      <c r="G4" s="10"/>
      <c r="H4" s="10"/>
      <c r="I4" s="10"/>
      <c r="J4" s="25"/>
    </row>
    <row r="5" spans="1:11" hidden="1" x14ac:dyDescent="0.2">
      <c r="A5" s="37" t="s">
        <v>68</v>
      </c>
      <c r="B5" s="38">
        <v>20</v>
      </c>
      <c r="C5" s="28" t="s">
        <v>69</v>
      </c>
      <c r="F5" s="10"/>
      <c r="G5" s="10"/>
      <c r="H5" s="10"/>
      <c r="I5" s="10"/>
      <c r="J5" s="25"/>
    </row>
    <row r="6" spans="1:11" ht="13.5" thickBot="1" x14ac:dyDescent="0.25">
      <c r="A6" s="37" t="s">
        <v>57</v>
      </c>
      <c r="B6" s="536">
        <v>1500</v>
      </c>
      <c r="C6" s="28" t="s">
        <v>71</v>
      </c>
      <c r="D6" s="67"/>
      <c r="F6" s="10"/>
      <c r="G6" s="27"/>
      <c r="H6" s="10"/>
      <c r="I6" s="10"/>
      <c r="J6" s="25"/>
    </row>
    <row r="7" spans="1:11" x14ac:dyDescent="0.2">
      <c r="A7" s="26"/>
      <c r="B7" s="10"/>
      <c r="C7" s="10"/>
      <c r="F7" s="10"/>
      <c r="G7" s="27"/>
      <c r="H7" s="10"/>
      <c r="I7" s="10"/>
      <c r="J7" s="25"/>
    </row>
    <row r="8" spans="1:11" ht="13.5" thickBot="1" x14ac:dyDescent="0.25">
      <c r="A8" s="26"/>
      <c r="B8" s="10"/>
      <c r="C8" s="10"/>
      <c r="D8" s="10"/>
      <c r="E8" s="10"/>
      <c r="F8" s="10"/>
      <c r="G8" s="10"/>
      <c r="H8" s="10"/>
      <c r="I8" s="10"/>
      <c r="J8" s="25"/>
    </row>
    <row r="9" spans="1:11" ht="13.5" thickTop="1" x14ac:dyDescent="0.2">
      <c r="A9" s="722" t="s">
        <v>24</v>
      </c>
      <c r="B9" s="718" t="s">
        <v>61</v>
      </c>
      <c r="C9" s="718"/>
      <c r="D9" s="718" t="s">
        <v>72</v>
      </c>
      <c r="E9" s="724"/>
      <c r="F9" s="10"/>
      <c r="G9" s="10"/>
      <c r="H9" s="10"/>
      <c r="I9" s="10"/>
      <c r="J9" s="25"/>
    </row>
    <row r="10" spans="1:11" x14ac:dyDescent="0.2">
      <c r="A10" s="723"/>
      <c r="B10" s="503" t="s">
        <v>55</v>
      </c>
      <c r="C10" s="503" t="s">
        <v>102</v>
      </c>
      <c r="D10" s="142" t="s">
        <v>63</v>
      </c>
      <c r="E10" s="41" t="s">
        <v>74</v>
      </c>
      <c r="F10" s="10"/>
      <c r="G10" s="10"/>
      <c r="H10" s="10"/>
      <c r="I10" s="10"/>
      <c r="J10" s="25"/>
    </row>
    <row r="11" spans="1:11" x14ac:dyDescent="0.2">
      <c r="A11" s="579" t="s">
        <v>170</v>
      </c>
      <c r="B11" s="568" t="s">
        <v>571</v>
      </c>
      <c r="C11" s="568" t="s">
        <v>682</v>
      </c>
      <c r="D11" s="548" t="str">
        <f>IF(I41="UDEN FOR OMRÅDET","NOT POSSIBLE",IF(J41="UDEN FOR OMRÅDET","NOT POSSIBLE",(0.0206*B6-0.1176)))</f>
        <v>NOT POSSIBLE</v>
      </c>
      <c r="E11" s="42" t="str">
        <f>IF(I41="UDEN FOR OMRÅDET","NOT POSSIBLE",IF($B$6&lt;30,14.3,((((-0.000003*B6^2+0.0097*B6+13.982))))))</f>
        <v>NOT POSSIBLE</v>
      </c>
      <c r="F11" s="10"/>
      <c r="G11" s="10"/>
      <c r="H11" s="10"/>
      <c r="I11" s="10"/>
      <c r="J11" s="25"/>
    </row>
    <row r="12" spans="1:11" x14ac:dyDescent="0.2">
      <c r="A12" s="547" t="s">
        <v>171</v>
      </c>
      <c r="B12" s="279" t="s">
        <v>572</v>
      </c>
      <c r="C12" s="279" t="s">
        <v>682</v>
      </c>
      <c r="D12" s="548" t="str">
        <f>IF(I42="UDEN FOR OMRÅDET","NOT POSSIBLE",IF(J42="UDEN FOR OMRÅDET","NOT POSSIBLE",(0.0111*B6-0.1246)))</f>
        <v>NOT POSSIBLE</v>
      </c>
      <c r="E12" s="42" t="str">
        <f>IF(I42="UDEN FOR OMRÅDET","NOT POSSIBLE",IF($B$6&lt;66,14.6,((((-0.000003*B6^2+0.0097*B6+13.982))))))</f>
        <v>NOT POSSIBLE</v>
      </c>
      <c r="F12" s="10"/>
      <c r="G12" s="10"/>
      <c r="H12" s="10"/>
      <c r="I12" s="10"/>
      <c r="J12" s="25"/>
    </row>
    <row r="13" spans="1:11" x14ac:dyDescent="0.2">
      <c r="A13" s="579" t="s">
        <v>172</v>
      </c>
      <c r="B13" s="568" t="s">
        <v>571</v>
      </c>
      <c r="C13" s="568" t="s">
        <v>682</v>
      </c>
      <c r="D13" s="548" t="str">
        <f>IF(I43="UDEN FOR OMRÅDET","NOT POSSIBLE",IF(J43="UDEN FOR OMRÅDET","NOT POSSIBLE",(0.0206*B6-0.1176)))</f>
        <v>NOT POSSIBLE</v>
      </c>
      <c r="E13" s="42" t="str">
        <f>IF(I43="UDEN FOR OMRÅDET","NOT POSSIBLE",IF($B$6&lt;30,14.3,((((-0.000003*B6^2+0.0097*B6+13.982))))))</f>
        <v>NOT POSSIBLE</v>
      </c>
      <c r="F13" s="10"/>
      <c r="G13" s="10"/>
      <c r="H13" s="10"/>
      <c r="I13" s="10"/>
      <c r="J13" s="25"/>
    </row>
    <row r="14" spans="1:11" x14ac:dyDescent="0.2">
      <c r="A14" s="547" t="s">
        <v>173</v>
      </c>
      <c r="B14" s="279" t="s">
        <v>572</v>
      </c>
      <c r="C14" s="279" t="s">
        <v>682</v>
      </c>
      <c r="D14" s="548" t="str">
        <f>IF(I44="UDEN FOR OMRÅDET","NOT POSSIBLE",IF(J44="UDEN FOR OMRÅDET","NOT POSSIBLE",(0.0111*B6-0.1246)))</f>
        <v>NOT POSSIBLE</v>
      </c>
      <c r="E14" s="42" t="str">
        <f>IF(I44="UDEN FOR OMRÅDET","NOT POSSIBLE",IF($B$6&lt;66,14.6,((((-0.000003*B6^2+0.0097*B6+13.982))))))</f>
        <v>NOT POSSIBLE</v>
      </c>
      <c r="F14" s="10"/>
      <c r="G14" s="10"/>
      <c r="H14" s="10"/>
      <c r="I14" s="10"/>
      <c r="J14" s="25"/>
    </row>
    <row r="15" spans="1:11" x14ac:dyDescent="0.2">
      <c r="A15" s="579" t="s">
        <v>174</v>
      </c>
      <c r="B15" s="568" t="s">
        <v>573</v>
      </c>
      <c r="C15" s="568" t="s">
        <v>672</v>
      </c>
      <c r="D15" s="548" t="str">
        <f>IF(I45="UDEN FOR OMRÅDET","NOT POSSIBLE",IF(J45="UDEN FOR OMRÅDET","NOT POSSIBLE",(0.0072*B6-0.1158)))</f>
        <v>NOT POSSIBLE</v>
      </c>
      <c r="E15" s="42" t="str">
        <f>IF(I45="UDEN FOR OMRÅDET","NOT POSSIBLE",IF($B$6&lt;97,14.9,((((-0.000003*B6^2+0.0097*B6+13.982))))))</f>
        <v>NOT POSSIBLE</v>
      </c>
      <c r="F15" s="10"/>
      <c r="G15" s="10"/>
      <c r="H15" s="10"/>
      <c r="I15" s="10"/>
      <c r="J15" s="25"/>
    </row>
    <row r="16" spans="1:11" x14ac:dyDescent="0.2">
      <c r="A16" s="547" t="s">
        <v>592</v>
      </c>
      <c r="B16" s="279" t="s">
        <v>575</v>
      </c>
      <c r="C16" s="279" t="s">
        <v>674</v>
      </c>
      <c r="D16" s="548" t="str">
        <f>IF(I46="UDEN FOR OMRÅDET","NOT POSSIBLE",IF(J46="UDEN FOR OMRÅDET","NOT POSSIBLE",( 0.0031*B6-0.0739)))</f>
        <v>NOT POSSIBLE</v>
      </c>
      <c r="E16" s="42" t="str">
        <f>IF(I46="UDEN FOR OMRÅDET","NOT POSSIBLE",IF($B$6&lt;219,16,((((-0.000003*B6^2+0.0097*B6+13.982))))))</f>
        <v>NOT POSSIBLE</v>
      </c>
      <c r="F16" s="10"/>
      <c r="G16" s="10"/>
      <c r="H16" s="10"/>
      <c r="I16" s="10"/>
      <c r="J16" s="25"/>
    </row>
    <row r="17" spans="1:10" x14ac:dyDescent="0.2">
      <c r="A17" s="586" t="s">
        <v>175</v>
      </c>
      <c r="B17" s="587" t="s">
        <v>573</v>
      </c>
      <c r="C17" s="587" t="s">
        <v>672</v>
      </c>
      <c r="D17" s="548" t="str">
        <f>IF(I47="UDEN FOR OMRÅDET","NOT POSSIBLE",IF(J47="UDEN FOR OMRÅDET","NOT POSSIBLE",(0.0072*B6-0.1158)))</f>
        <v>NOT POSSIBLE</v>
      </c>
      <c r="E17" s="42" t="str">
        <f>IF(I47="UDEN FOR OMRÅDET","NOT POSSIBLE",IF($B$6&lt;97,14.9,((((-0.000003*B6^2+0.0097*B6+13.982))))))</f>
        <v>NOT POSSIBLE</v>
      </c>
      <c r="F17" s="10"/>
      <c r="G17" s="10"/>
      <c r="H17" s="10"/>
      <c r="I17" s="10"/>
      <c r="J17" s="25"/>
    </row>
    <row r="18" spans="1:10" x14ac:dyDescent="0.2">
      <c r="A18" s="547" t="s">
        <v>176</v>
      </c>
      <c r="B18" s="279" t="s">
        <v>574</v>
      </c>
      <c r="C18" s="279" t="s">
        <v>672</v>
      </c>
      <c r="D18" s="548" t="str">
        <f>IF(I48="UDEN FOR OMRÅDET","NOT POSSIBLE",IF(J48="UDEN FOR OMRÅDET","NOT POSSIBLE",( 0.0041*B6-0.0554)))</f>
        <v>NOT POSSIBLE</v>
      </c>
      <c r="E18" s="42" t="str">
        <f>IF(I48="UDEN FOR OMRÅDET","NOT POSSIBLE",IF($B$6&lt;157,15.4,((((-0.000003*B6^2+0.0097*B6+13.982))))))</f>
        <v>NOT POSSIBLE</v>
      </c>
      <c r="F18" s="10"/>
      <c r="G18" s="10"/>
      <c r="H18" s="10"/>
      <c r="I18" s="10"/>
      <c r="J18" s="25"/>
    </row>
    <row r="19" spans="1:10" x14ac:dyDescent="0.2">
      <c r="A19" s="586" t="s">
        <v>177</v>
      </c>
      <c r="B19" s="587" t="s">
        <v>575</v>
      </c>
      <c r="C19" s="587" t="s">
        <v>674</v>
      </c>
      <c r="D19" s="548" t="str">
        <f>IF(I49="UDEN FOR OMRÅDET","NOT POSSIBLE",IF(J49="UDEN FOR OMRÅDET","NOT POSSIBLE",( 0.0031*B6-0.0739)))</f>
        <v>NOT POSSIBLE</v>
      </c>
      <c r="E19" s="42" t="str">
        <f>IF(I49="UDEN FOR OMRÅDET","NOT POSSIBLE",IF($B$6&lt;219,16,((((-0.000003*B6^2+0.0097*B6+13.982))))))</f>
        <v>NOT POSSIBLE</v>
      </c>
      <c r="F19" s="10"/>
      <c r="G19" s="10"/>
      <c r="H19" s="10"/>
      <c r="I19" s="10"/>
      <c r="J19" s="25"/>
    </row>
    <row r="20" spans="1:10" x14ac:dyDescent="0.2">
      <c r="A20" s="547" t="s">
        <v>632</v>
      </c>
      <c r="B20" s="279" t="s">
        <v>635</v>
      </c>
      <c r="C20" s="279" t="s">
        <v>683</v>
      </c>
      <c r="D20" s="548">
        <f>IF(I50="UDEN FOR OMRÅDET","NOT POSSIBLE",IF(J50="UDEN FOR OMRÅDET","NOT POSSIBLE",(ROUND(0.000000000000738*B6^4-0.000000003305773*B6^3+0.000004764953804*B6^2-0.000101647006109*B6+0.281655010967834,1))))</f>
        <v>3.4</v>
      </c>
      <c r="E20" s="42">
        <f>IF(I50="UDEN FOR OMRÅDET","NOT POSSIBLE",IF($B$6&lt;219,16,((((-1.338352*D20^4+13.061298*D20^3-41.975654*D20^2+55.306489*D20-2.920448))))))</f>
        <v>34.395515124800106</v>
      </c>
      <c r="F20" s="10"/>
      <c r="G20" s="10"/>
      <c r="H20" s="10"/>
      <c r="I20" s="10"/>
      <c r="J20" s="25"/>
    </row>
    <row r="21" spans="1:10" x14ac:dyDescent="0.2">
      <c r="A21" s="586" t="s">
        <v>633</v>
      </c>
      <c r="B21" s="587" t="s">
        <v>636</v>
      </c>
      <c r="C21" s="587" t="s">
        <v>672</v>
      </c>
      <c r="D21" s="548">
        <f>IF(I51="UDEN FOR OMRÅDET","NOT POSSIBLE",IF(J51="UDEN FOR OMRÅDET","NOT POSSIBLE",(ROUND(1.4E-19*B6^6-1.19861E-15*B6^5+4.13643328E-12*B6^4-7.13978266724E-09*B6^3+5.84387840760556E-06*B6^2+0.000579276541885037*B6+0.11330832994119,1))))</f>
        <v>3.5</v>
      </c>
      <c r="E21" s="42">
        <f>IF(I51="UDEN FOR OMRÅDET","NOT POSSIBLE",IF($B$6&lt;219,16,((((-0.0488*D21^4+1.2823*D21^3-4.3242*D21^2+6.5949*D21+12.629))))))</f>
        <v>30.395262499999987</v>
      </c>
      <c r="F21" s="10"/>
      <c r="G21" s="10"/>
      <c r="H21" s="10"/>
      <c r="I21" s="10"/>
      <c r="J21" s="25"/>
    </row>
    <row r="22" spans="1:10" x14ac:dyDescent="0.2">
      <c r="A22" s="547" t="s">
        <v>634</v>
      </c>
      <c r="B22" s="279" t="s">
        <v>590</v>
      </c>
      <c r="C22" s="279" t="s">
        <v>684</v>
      </c>
      <c r="D22" s="548">
        <f>IF(I52="UDEN FOR OMRÅDET","NOT POSSIBLE",IF(J52="UDEN FOR OMRÅDET","NOT POSSIBLE",( 0.00113*B6-0.077966)))</f>
        <v>1.6170339999999999</v>
      </c>
      <c r="E22" s="42">
        <f>IF(I52="UDEN FOR OMRÅDET","NOT POSSIBLE",IF($B$6&lt;600,17.3,((((0.1565*D22^3-0.4391*D22^2+0.7641*D22+16.949))))))</f>
        <v>17.698133702155427</v>
      </c>
      <c r="F22" s="10"/>
      <c r="G22" s="10"/>
      <c r="H22" s="10"/>
      <c r="I22" s="10"/>
      <c r="J22" s="25"/>
    </row>
    <row r="23" spans="1:10" x14ac:dyDescent="0.2">
      <c r="A23" s="586" t="s">
        <v>50</v>
      </c>
      <c r="B23" s="587" t="s">
        <v>591</v>
      </c>
      <c r="C23" s="587" t="s">
        <v>683</v>
      </c>
      <c r="D23" s="548">
        <f>IF(I53="UDEN FOR OMRÅDET","NOT POSSIBLE",IF(J53="UDEN FOR OMRÅDET","NOT POSSIBLE",( 0.000985*B6+0.058128)))</f>
        <v>1.535628</v>
      </c>
      <c r="E23" s="42">
        <f>IF(I53="UDEN FOR OMRÅDET","NOT POSSIBLE",IF($B$6&lt;550,17.9,((((0.319164*D23^3-1.007683*D23^2+1.622683*D23+17.20149))))))</f>
        <v>18.472827863566863</v>
      </c>
      <c r="F23" s="10"/>
      <c r="G23" s="10"/>
      <c r="H23" s="10"/>
      <c r="I23" s="10"/>
      <c r="J23" s="25"/>
    </row>
    <row r="24" spans="1:10" x14ac:dyDescent="0.2">
      <c r="A24" s="547" t="s">
        <v>51</v>
      </c>
      <c r="B24" s="279" t="s">
        <v>602</v>
      </c>
      <c r="C24" s="279" t="s">
        <v>685</v>
      </c>
      <c r="D24" s="548">
        <f>IF(I54="UDEN FOR OMRÅDET","NOT POSSIBLE",IF(J54="UDEN FOR OMRÅDET","NOT POSSIBLE",(0.00000000000288*B6^3-0.0000000664956*B6^2+0.00083885974318*B6-0.43240908305444)))</f>
        <v>0.68598543171556003</v>
      </c>
      <c r="E24" s="563">
        <f>IF(I54="UDEN FOR OMRÅDET","NOT POSSIBLE",IF($B$6&lt;1370,10,((((-0.00000000000001*B6^4+0.00000000017355*B6^3-0.00000068604015*B6^2+0.00101346313061*B6+9.48796472736388))))))</f>
        <v>9.9996753357788783</v>
      </c>
      <c r="F24" s="10"/>
      <c r="G24" s="10"/>
      <c r="H24" s="10"/>
      <c r="I24" s="10"/>
      <c r="J24" s="25"/>
    </row>
    <row r="25" spans="1:10" ht="13.5" thickBot="1" x14ac:dyDescent="0.25">
      <c r="A25" s="673" t="s">
        <v>52</v>
      </c>
      <c r="B25" s="674" t="s">
        <v>603</v>
      </c>
      <c r="C25" s="674" t="s">
        <v>685</v>
      </c>
      <c r="D25" s="544">
        <f>IF(I55="UDEN FOR OMRÅDET","NOT POSSIBLE",IF(J55="UDEN FOR OMRÅDET","NOT POSSIBLE",(0.0000000000026361*B6^3-0.0000000676435205*B6^2+0.0008135531716385*B6-0.4034323654908)))</f>
        <v>0.67359630834195006</v>
      </c>
      <c r="E25" s="564">
        <f>IF(I55="UDEN FOR OMRÅDET","NOT POSSIBLE",IF($B$6&lt;1370,10,((((-0.0000000000124303*B6^3+0.000000413233432*B6^2-0.0009155917685558*B6+10.7948844712801))))))</f>
        <v>10.309319777946401</v>
      </c>
      <c r="F25" s="10"/>
      <c r="G25" s="10"/>
      <c r="H25" s="10"/>
      <c r="I25" s="10"/>
      <c r="J25" s="25"/>
    </row>
    <row r="26" spans="1:10" ht="13.5" thickTop="1" x14ac:dyDescent="0.2">
      <c r="A26" s="26"/>
      <c r="B26" s="10"/>
      <c r="C26" s="10"/>
      <c r="D26" s="10"/>
      <c r="F26" s="10"/>
      <c r="G26" s="10"/>
      <c r="H26" s="10"/>
      <c r="I26" s="10"/>
      <c r="J26" s="25"/>
    </row>
    <row r="27" spans="1:10" x14ac:dyDescent="0.2">
      <c r="A27" s="26"/>
      <c r="B27" s="10"/>
      <c r="C27" s="10"/>
      <c r="D27" s="10"/>
      <c r="F27" s="10"/>
      <c r="G27" s="10"/>
      <c r="H27" s="10"/>
      <c r="I27" s="10"/>
      <c r="J27" s="25"/>
    </row>
    <row r="28" spans="1:10" x14ac:dyDescent="0.2">
      <c r="A28" s="26"/>
      <c r="B28" s="10"/>
      <c r="C28" s="10"/>
      <c r="D28" s="10"/>
      <c r="F28" s="10"/>
      <c r="G28" s="10"/>
      <c r="H28" s="10"/>
      <c r="I28" s="10"/>
      <c r="J28" s="25"/>
    </row>
    <row r="29" spans="1:10" x14ac:dyDescent="0.2">
      <c r="A29" s="26"/>
      <c r="B29" s="10"/>
      <c r="C29" s="10"/>
      <c r="D29" s="10"/>
      <c r="F29" s="10"/>
      <c r="G29" s="10"/>
      <c r="H29" s="10"/>
      <c r="I29" s="10"/>
      <c r="J29" s="25"/>
    </row>
    <row r="30" spans="1:10" x14ac:dyDescent="0.2">
      <c r="A30" s="26"/>
      <c r="B30" s="10"/>
      <c r="C30" s="10"/>
      <c r="D30" s="10"/>
      <c r="F30" s="10"/>
      <c r="G30" s="10"/>
      <c r="H30" s="10"/>
      <c r="I30" s="10"/>
      <c r="J30" s="25"/>
    </row>
    <row r="31" spans="1:10" x14ac:dyDescent="0.2">
      <c r="A31" s="26"/>
      <c r="B31" s="10"/>
      <c r="C31" s="10"/>
      <c r="D31" s="10"/>
      <c r="F31" s="10"/>
      <c r="G31" s="10"/>
      <c r="H31" s="10"/>
      <c r="I31" s="10"/>
      <c r="J31" s="25"/>
    </row>
    <row r="32" spans="1:10" x14ac:dyDescent="0.2">
      <c r="A32" s="26"/>
      <c r="B32" s="10"/>
      <c r="C32" s="10"/>
      <c r="D32" s="10"/>
      <c r="F32" s="10"/>
      <c r="G32" s="10"/>
      <c r="H32" s="10"/>
      <c r="I32" s="10"/>
      <c r="J32" s="25"/>
    </row>
    <row r="33" spans="1:10" x14ac:dyDescent="0.2">
      <c r="A33" s="26"/>
      <c r="B33" s="10"/>
      <c r="C33" s="10"/>
      <c r="D33" s="10"/>
      <c r="F33" s="10"/>
      <c r="G33" s="10"/>
      <c r="H33" s="10"/>
      <c r="I33" s="10"/>
      <c r="J33" s="25"/>
    </row>
    <row r="34" spans="1:10" x14ac:dyDescent="0.2">
      <c r="A34" s="26"/>
      <c r="B34" s="10"/>
      <c r="C34" s="10"/>
      <c r="D34" s="10"/>
      <c r="F34" s="10"/>
      <c r="G34" s="10"/>
      <c r="H34" s="10"/>
      <c r="I34" s="10"/>
      <c r="J34" s="25"/>
    </row>
    <row r="35" spans="1:10" x14ac:dyDescent="0.2">
      <c r="A35" s="26"/>
      <c r="B35" s="10"/>
      <c r="C35" s="10"/>
      <c r="D35" s="10"/>
      <c r="F35" s="10"/>
      <c r="G35" s="10"/>
      <c r="H35" s="10"/>
      <c r="I35" s="10"/>
      <c r="J35" s="25"/>
    </row>
    <row r="36" spans="1:10" x14ac:dyDescent="0.2">
      <c r="A36" s="26"/>
      <c r="B36" s="10"/>
      <c r="C36" s="10"/>
      <c r="D36" s="10"/>
      <c r="E36" s="31"/>
      <c r="F36" s="10"/>
      <c r="G36" s="10"/>
      <c r="H36" s="10"/>
      <c r="I36" s="10"/>
      <c r="J36" s="25"/>
    </row>
    <row r="37" spans="1:10" ht="13.5" thickBot="1" x14ac:dyDescent="0.25">
      <c r="A37" s="554" t="s">
        <v>178</v>
      </c>
      <c r="B37" s="34"/>
      <c r="C37" s="34"/>
      <c r="D37" s="33"/>
      <c r="E37" s="34"/>
      <c r="F37" s="34"/>
      <c r="G37" s="34"/>
      <c r="H37" s="34"/>
      <c r="I37" s="34"/>
      <c r="J37" s="35"/>
    </row>
    <row r="38" spans="1:10" ht="10.5" customHeight="1" thickTop="1" x14ac:dyDescent="0.2">
      <c r="D38" s="77"/>
    </row>
    <row r="39" spans="1:10" ht="13.5" hidden="1" thickBot="1" x14ac:dyDescent="0.25">
      <c r="D39" s="77"/>
    </row>
    <row r="40" spans="1:10" ht="13.5" hidden="1" thickTop="1" x14ac:dyDescent="0.2">
      <c r="A40" s="11" t="s">
        <v>0</v>
      </c>
      <c r="B40" s="12"/>
      <c r="C40" s="12"/>
      <c r="D40" s="12" t="s">
        <v>1</v>
      </c>
      <c r="E40" s="12" t="s">
        <v>3</v>
      </c>
      <c r="F40" s="12" t="s">
        <v>8</v>
      </c>
      <c r="G40" s="12" t="s">
        <v>4</v>
      </c>
      <c r="H40" s="12" t="s">
        <v>5</v>
      </c>
      <c r="I40" s="13" t="s">
        <v>6</v>
      </c>
      <c r="J40" s="14" t="s">
        <v>7</v>
      </c>
    </row>
    <row r="41" spans="1:10" hidden="1" x14ac:dyDescent="0.2">
      <c r="A41" s="579" t="s">
        <v>170</v>
      </c>
      <c r="B41" s="555"/>
      <c r="C41" s="555"/>
      <c r="D41" s="8"/>
      <c r="E41" s="79"/>
      <c r="F41" s="80">
        <v>0.5</v>
      </c>
      <c r="G41" s="45">
        <v>30</v>
      </c>
      <c r="H41" s="1">
        <v>200</v>
      </c>
      <c r="I41" s="2" t="str">
        <f t="shared" ref="I41:I53" si="0">IF($B$6&lt;=G41-1,"UDEN FOR OMRÅDET",IF($B$6&gt;=H41+1,"UDEN FOR OMRÅDET",$B$6))</f>
        <v>UDEN FOR OMRÅDET</v>
      </c>
      <c r="J41" s="16">
        <f>IF($B$5&lt;=13,"UDEN FOR OMRÅDET",IF($B$5&gt;=401,"UDEN FOR OMRÅDET",$B$5))</f>
        <v>20</v>
      </c>
    </row>
    <row r="42" spans="1:10" hidden="1" x14ac:dyDescent="0.2">
      <c r="A42" s="547" t="s">
        <v>171</v>
      </c>
      <c r="B42" s="555"/>
      <c r="C42" s="555"/>
      <c r="D42" s="8"/>
      <c r="E42" s="81"/>
      <c r="F42" s="80">
        <v>0.9</v>
      </c>
      <c r="G42" s="45">
        <v>65</v>
      </c>
      <c r="H42" s="1">
        <v>370</v>
      </c>
      <c r="I42" s="2" t="str">
        <f t="shared" si="0"/>
        <v>UDEN FOR OMRÅDET</v>
      </c>
      <c r="J42" s="16">
        <f>IF($B$5&lt;=13,"UDEN FOR OMRÅDET",IF($B$5&gt;=401,"UDEN FOR OMRÅDET",$B$5))</f>
        <v>20</v>
      </c>
    </row>
    <row r="43" spans="1:10" hidden="1" x14ac:dyDescent="0.2">
      <c r="A43" s="579" t="s">
        <v>172</v>
      </c>
      <c r="B43" s="555"/>
      <c r="C43" s="555"/>
      <c r="D43" s="8"/>
      <c r="E43" s="81"/>
      <c r="F43" s="80">
        <v>0.5</v>
      </c>
      <c r="G43" s="45">
        <v>30</v>
      </c>
      <c r="H43" s="1">
        <v>200</v>
      </c>
      <c r="I43" s="2" t="str">
        <f t="shared" si="0"/>
        <v>UDEN FOR OMRÅDET</v>
      </c>
      <c r="J43" s="16">
        <f>IF($B$5&lt;=13,"UDEN FOR OMRÅDET",IF($B$5&gt;=401,"UDEN FOR OMRÅDET",$B$5))</f>
        <v>20</v>
      </c>
    </row>
    <row r="44" spans="1:10" hidden="1" x14ac:dyDescent="0.2">
      <c r="A44" s="547" t="s">
        <v>173</v>
      </c>
      <c r="B44" s="555"/>
      <c r="C44" s="555"/>
      <c r="D44" s="8"/>
      <c r="E44" s="81"/>
      <c r="F44" s="80">
        <v>0.9</v>
      </c>
      <c r="G44" s="45">
        <v>65</v>
      </c>
      <c r="H44" s="1">
        <v>370</v>
      </c>
      <c r="I44" s="2" t="str">
        <f t="shared" si="0"/>
        <v>UDEN FOR OMRÅDET</v>
      </c>
      <c r="J44" s="16">
        <f>IF($B$5&lt;=13,"UDEN FOR OMRÅDET",IF($B$5&gt;=401,"UDEN FOR OMRÅDET",$B$5))</f>
        <v>20</v>
      </c>
    </row>
    <row r="45" spans="1:10" hidden="1" x14ac:dyDescent="0.2">
      <c r="A45" s="579" t="s">
        <v>174</v>
      </c>
      <c r="B45" s="555"/>
      <c r="C45" s="555"/>
      <c r="D45" s="8"/>
      <c r="E45" s="81"/>
      <c r="F45" s="80">
        <v>1.3</v>
      </c>
      <c r="G45" s="45">
        <v>100</v>
      </c>
      <c r="H45" s="1">
        <v>575</v>
      </c>
      <c r="I45" s="2" t="str">
        <f t="shared" si="0"/>
        <v>UDEN FOR OMRÅDET</v>
      </c>
      <c r="J45" s="16">
        <f>IF($B$5&lt;=13,"UDEN FOR OMRÅDET",IF($B$5&gt;=401,"UDEN FOR OMRÅDET",$B$5))</f>
        <v>20</v>
      </c>
    </row>
    <row r="46" spans="1:10" hidden="1" x14ac:dyDescent="0.2">
      <c r="A46" s="547" t="s">
        <v>592</v>
      </c>
      <c r="B46" s="555"/>
      <c r="C46" s="555"/>
      <c r="D46" s="8"/>
      <c r="E46" s="83"/>
      <c r="F46" s="84">
        <v>2.7</v>
      </c>
      <c r="G46" s="666">
        <v>220</v>
      </c>
      <c r="H46" s="666">
        <v>1330</v>
      </c>
      <c r="I46" s="666" t="str">
        <f t="shared" ref="I46" si="1">IF($B$6&lt;=G46-1,"UDEN FOR OMRÅDET",IF($B$6&gt;=H46+1,"UDEN FOR OMRÅDET",$B$6))</f>
        <v>UDEN FOR OMRÅDET</v>
      </c>
      <c r="J46" s="16">
        <f>IF($B$5&lt;=15,"UDEN FOR OMRÅDET",IF($B$5&gt;=401,"UDEN FOR OMRÅDET",$B$5))</f>
        <v>20</v>
      </c>
    </row>
    <row r="47" spans="1:10" hidden="1" x14ac:dyDescent="0.2">
      <c r="A47" s="547" t="s">
        <v>175</v>
      </c>
      <c r="B47" s="555"/>
      <c r="C47" s="555"/>
      <c r="D47" s="8"/>
      <c r="E47" s="81"/>
      <c r="F47" s="80">
        <v>1.3</v>
      </c>
      <c r="G47" s="45">
        <v>100</v>
      </c>
      <c r="H47" s="1">
        <v>575</v>
      </c>
      <c r="I47" s="2" t="str">
        <f t="shared" si="0"/>
        <v>UDEN FOR OMRÅDET</v>
      </c>
      <c r="J47" s="16">
        <f>IF($B$5&lt;=14,"UDEN FOR OMRÅDET",IF($B$5&gt;=401,"UDEN FOR OMRÅDET",$B$5))</f>
        <v>20</v>
      </c>
    </row>
    <row r="48" spans="1:10" hidden="1" x14ac:dyDescent="0.2">
      <c r="A48" s="579" t="s">
        <v>176</v>
      </c>
      <c r="B48" s="555"/>
      <c r="C48" s="555"/>
      <c r="D48" s="8"/>
      <c r="E48" s="81"/>
      <c r="F48" s="80">
        <v>2.1</v>
      </c>
      <c r="G48" s="45">
        <v>160</v>
      </c>
      <c r="H48" s="1">
        <v>990</v>
      </c>
      <c r="I48" s="2" t="str">
        <f t="shared" si="0"/>
        <v>UDEN FOR OMRÅDET</v>
      </c>
      <c r="J48" s="16">
        <f>IF($B$5&lt;=13,"UDEN FOR OMRÅDET",IF($B$5&gt;=401,"UDEN FOR OMRÅDET",$B$5))</f>
        <v>20</v>
      </c>
    </row>
    <row r="49" spans="1:10" hidden="1" x14ac:dyDescent="0.2">
      <c r="A49" s="547" t="s">
        <v>177</v>
      </c>
      <c r="B49" s="555"/>
      <c r="C49" s="555"/>
      <c r="D49" s="8"/>
      <c r="E49" s="83"/>
      <c r="F49" s="84">
        <v>2.7</v>
      </c>
      <c r="G49" s="2">
        <v>220</v>
      </c>
      <c r="H49" s="2">
        <v>1330</v>
      </c>
      <c r="I49" s="2" t="str">
        <f t="shared" si="0"/>
        <v>UDEN FOR OMRÅDET</v>
      </c>
      <c r="J49" s="16">
        <f>IF($B$5&lt;=15,"UDEN FOR OMRÅDET",IF($B$5&gt;=401,"UDEN FOR OMRÅDET",$B$5))</f>
        <v>20</v>
      </c>
    </row>
    <row r="50" spans="1:10" hidden="1" x14ac:dyDescent="0.2">
      <c r="A50" s="586" t="s">
        <v>632</v>
      </c>
      <c r="B50" s="555"/>
      <c r="C50" s="555"/>
      <c r="D50" s="8"/>
      <c r="E50" s="83"/>
      <c r="F50" s="84">
        <v>2.9</v>
      </c>
      <c r="G50" s="655">
        <v>300</v>
      </c>
      <c r="H50" s="655">
        <v>1800</v>
      </c>
      <c r="I50" s="655">
        <f t="shared" si="0"/>
        <v>1500</v>
      </c>
      <c r="J50" s="16">
        <f t="shared" ref="J50:J51" si="2">IF($B$5&lt;=15,"UDEN FOR OMRÅDET",IF($B$5&gt;=401,"UDEN FOR OMRÅDET",$B$5))</f>
        <v>20</v>
      </c>
    </row>
    <row r="51" spans="1:10" hidden="1" x14ac:dyDescent="0.2">
      <c r="A51" s="547" t="s">
        <v>633</v>
      </c>
      <c r="B51" s="555"/>
      <c r="C51" s="555"/>
      <c r="D51" s="8"/>
      <c r="E51" s="83"/>
      <c r="F51" s="84">
        <v>2.9</v>
      </c>
      <c r="G51" s="655">
        <v>280</v>
      </c>
      <c r="H51" s="655">
        <v>1800</v>
      </c>
      <c r="I51" s="655">
        <f t="shared" si="0"/>
        <v>1500</v>
      </c>
      <c r="J51" s="16">
        <f t="shared" si="2"/>
        <v>20</v>
      </c>
    </row>
    <row r="52" spans="1:10" hidden="1" x14ac:dyDescent="0.2">
      <c r="A52" s="586" t="s">
        <v>634</v>
      </c>
      <c r="B52" s="555"/>
      <c r="C52" s="555"/>
      <c r="D52" s="3"/>
      <c r="E52" s="3"/>
      <c r="F52" s="557">
        <v>7.5</v>
      </c>
      <c r="G52" s="558">
        <v>600</v>
      </c>
      <c r="H52" s="559">
        <v>3609</v>
      </c>
      <c r="I52" s="60">
        <f t="shared" si="0"/>
        <v>1500</v>
      </c>
      <c r="J52" s="16">
        <f>IF($B$5&lt;=15,"UDEN FOR OMRÅDET",IF($B$5&gt;=401,"UDEN FOR OMRÅDET",$B$5))</f>
        <v>20</v>
      </c>
    </row>
    <row r="53" spans="1:10" hidden="1" x14ac:dyDescent="0.2">
      <c r="A53" s="547" t="s">
        <v>50</v>
      </c>
      <c r="B53" s="3"/>
      <c r="C53" s="3"/>
      <c r="D53" s="3"/>
      <c r="E53" s="3"/>
      <c r="F53" s="557">
        <v>7.6</v>
      </c>
      <c r="G53" s="558">
        <v>550</v>
      </c>
      <c r="H53" s="559">
        <v>4001</v>
      </c>
      <c r="I53" s="60">
        <f t="shared" si="0"/>
        <v>1500</v>
      </c>
      <c r="J53" s="16">
        <f>IF($B$5&lt;=15,"UDEN FOR OMRÅDET",IF($B$5&gt;=401,"UDEN FOR OMRÅDET",$B$5))</f>
        <v>20</v>
      </c>
    </row>
    <row r="54" spans="1:10" hidden="1" x14ac:dyDescent="0.2">
      <c r="A54" s="586" t="s">
        <v>51</v>
      </c>
      <c r="B54" s="555"/>
      <c r="C54" s="555"/>
      <c r="D54" s="3"/>
      <c r="E54" s="3"/>
      <c r="F54" s="557">
        <v>19</v>
      </c>
      <c r="G54" s="558">
        <v>1370</v>
      </c>
      <c r="H54" s="559">
        <v>9500</v>
      </c>
      <c r="I54" s="60">
        <f t="shared" ref="I54:I55" si="3">IF($B$6&lt;=G54-1,"UDEN FOR OMRÅDET",IF($B$6&gt;=H54+1,"UDEN FOR OMRÅDET",$B$6))</f>
        <v>1500</v>
      </c>
      <c r="J54" s="16">
        <f>IF($B$5&lt;=15,"UDEN FOR OMRÅDET",IF($B$5&gt;=401,"UDEN FOR OMRÅDET",$B$5))</f>
        <v>20</v>
      </c>
    </row>
    <row r="55" spans="1:10" ht="13.5" hidden="1" thickBot="1" x14ac:dyDescent="0.25">
      <c r="A55" s="550" t="s">
        <v>52</v>
      </c>
      <c r="B55" s="18"/>
      <c r="C55" s="18"/>
      <c r="D55" s="18"/>
      <c r="E55" s="18"/>
      <c r="F55" s="560">
        <v>19</v>
      </c>
      <c r="G55" s="561">
        <v>1400</v>
      </c>
      <c r="H55" s="562">
        <v>11500</v>
      </c>
      <c r="I55" s="155">
        <f t="shared" si="3"/>
        <v>1500</v>
      </c>
      <c r="J55" s="20">
        <f>IF($B$5&lt;=15,"UDEN FOR OMRÅDET",IF($B$5&gt;=401,"UDEN FOR OMRÅDET",$B$5))</f>
        <v>20</v>
      </c>
    </row>
    <row r="56" spans="1:10" ht="13.5" hidden="1" thickTop="1" x14ac:dyDescent="0.2"/>
    <row r="57" spans="1:10" hidden="1" x14ac:dyDescent="0.2"/>
  </sheetData>
  <sheetProtection sheet="1" objects="1" scenarios="1"/>
  <mergeCells count="5">
    <mergeCell ref="A1:I1"/>
    <mergeCell ref="A2:J2"/>
    <mergeCell ref="D9:E9"/>
    <mergeCell ref="A9:A10"/>
    <mergeCell ref="B9:C9"/>
  </mergeCells>
  <phoneticPr fontId="0" type="noConversion"/>
  <pageMargins left="0.78740157480314965" right="0.39370078740157483" top="0.98425196850393704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showGridLines="0" zoomScaleNormal="100" workbookViewId="0">
      <selection activeCell="B7" sqref="B7"/>
    </sheetView>
  </sheetViews>
  <sheetFormatPr defaultColWidth="8.85546875" defaultRowHeight="12.75" x14ac:dyDescent="0.2"/>
  <cols>
    <col min="1" max="1" width="23.7109375" style="601" customWidth="1"/>
    <col min="2" max="2" width="14.28515625" style="601" customWidth="1"/>
    <col min="3" max="3" width="15.7109375" style="601" customWidth="1"/>
    <col min="4" max="4" width="16.42578125" style="601" customWidth="1"/>
    <col min="5" max="5" width="15.7109375" style="601" customWidth="1"/>
    <col min="6" max="7" width="10.7109375" style="601" customWidth="1"/>
    <col min="8" max="8" width="7.140625" style="601" customWidth="1"/>
    <col min="9" max="9" width="10.7109375" style="601" customWidth="1"/>
    <col min="10" max="10" width="20.42578125" style="601" bestFit="1" customWidth="1"/>
    <col min="11" max="13" width="8.85546875" style="601"/>
    <col min="14" max="15" width="20.28515625" style="601" bestFit="1" customWidth="1"/>
    <col min="16" max="16384" width="8.85546875" style="601"/>
  </cols>
  <sheetData>
    <row r="1" spans="1:11" ht="21" thickTop="1" x14ac:dyDescent="0.3">
      <c r="A1" s="719" t="s">
        <v>582</v>
      </c>
      <c r="B1" s="720"/>
      <c r="C1" s="720"/>
      <c r="D1" s="720"/>
      <c r="E1" s="720"/>
      <c r="F1" s="720"/>
      <c r="G1" s="720"/>
      <c r="H1" s="720"/>
      <c r="I1" s="720"/>
      <c r="J1" s="543"/>
      <c r="K1" s="600"/>
    </row>
    <row r="2" spans="1:11" ht="21" thickBot="1" x14ac:dyDescent="0.35">
      <c r="A2" s="725" t="s">
        <v>583</v>
      </c>
      <c r="B2" s="726"/>
      <c r="C2" s="726"/>
      <c r="D2" s="726"/>
      <c r="E2" s="726"/>
      <c r="F2" s="726"/>
      <c r="G2" s="726"/>
      <c r="H2" s="726"/>
      <c r="I2" s="726"/>
      <c r="J2" s="727"/>
      <c r="K2" s="600"/>
    </row>
    <row r="3" spans="1:11" ht="13.5" thickTop="1" x14ac:dyDescent="0.2">
      <c r="A3" s="602"/>
      <c r="B3" s="603"/>
      <c r="C3" s="603"/>
      <c r="D3" s="604"/>
      <c r="E3" s="604"/>
      <c r="F3" s="604"/>
      <c r="G3" s="604"/>
      <c r="H3" s="604"/>
      <c r="I3" s="604"/>
      <c r="J3" s="605"/>
    </row>
    <row r="4" spans="1:11" ht="13.5" thickBot="1" x14ac:dyDescent="0.25">
      <c r="A4" s="606"/>
      <c r="B4" s="597" t="s">
        <v>25</v>
      </c>
      <c r="C4" s="607"/>
      <c r="D4" s="608"/>
      <c r="F4" s="607"/>
      <c r="G4" s="607"/>
      <c r="H4" s="607"/>
      <c r="I4" s="607"/>
      <c r="J4" s="609"/>
    </row>
    <row r="5" spans="1:11" ht="13.5" hidden="1" thickBot="1" x14ac:dyDescent="0.25">
      <c r="A5" s="610" t="s">
        <v>68</v>
      </c>
      <c r="B5" s="611">
        <v>20</v>
      </c>
      <c r="C5" s="612" t="s">
        <v>69</v>
      </c>
      <c r="F5" s="607"/>
      <c r="G5" s="607"/>
      <c r="H5" s="607"/>
      <c r="I5" s="607"/>
      <c r="J5" s="609"/>
    </row>
    <row r="6" spans="1:11" ht="13.5" thickBot="1" x14ac:dyDescent="0.25">
      <c r="A6" s="37" t="s">
        <v>57</v>
      </c>
      <c r="B6" s="613">
        <v>250</v>
      </c>
      <c r="C6" s="28" t="s">
        <v>584</v>
      </c>
      <c r="D6" s="614"/>
      <c r="F6" s="607"/>
      <c r="G6" s="615"/>
      <c r="H6" s="607"/>
      <c r="I6" s="607"/>
      <c r="J6" s="609"/>
    </row>
    <row r="7" spans="1:11" x14ac:dyDescent="0.2">
      <c r="A7" s="606"/>
      <c r="B7" s="607"/>
      <c r="C7" s="607"/>
      <c r="F7" s="607"/>
      <c r="G7" s="615"/>
      <c r="H7" s="607"/>
      <c r="I7" s="607"/>
      <c r="J7" s="609"/>
    </row>
    <row r="8" spans="1:11" ht="13.5" thickBot="1" x14ac:dyDescent="0.25">
      <c r="A8" s="606"/>
      <c r="B8" s="607"/>
      <c r="C8" s="607"/>
      <c r="D8" s="607"/>
      <c r="E8" s="607"/>
      <c r="F8" s="607"/>
      <c r="G8" s="607"/>
      <c r="H8" s="607"/>
      <c r="I8" s="607"/>
      <c r="J8" s="609"/>
    </row>
    <row r="9" spans="1:11" ht="13.5" thickTop="1" x14ac:dyDescent="0.2">
      <c r="A9" s="733" t="s">
        <v>24</v>
      </c>
      <c r="B9" s="718" t="s">
        <v>61</v>
      </c>
      <c r="C9" s="718"/>
      <c r="D9" s="718" t="s">
        <v>72</v>
      </c>
      <c r="E9" s="724"/>
      <c r="F9" s="607"/>
      <c r="G9" s="607"/>
      <c r="H9" s="607"/>
      <c r="I9" s="607"/>
      <c r="J9" s="609"/>
    </row>
    <row r="10" spans="1:11" x14ac:dyDescent="0.2">
      <c r="A10" s="734"/>
      <c r="B10" s="503" t="s">
        <v>585</v>
      </c>
      <c r="C10" s="503" t="s">
        <v>102</v>
      </c>
      <c r="D10" s="142" t="s">
        <v>63</v>
      </c>
      <c r="E10" s="41" t="s">
        <v>74</v>
      </c>
      <c r="F10" s="607"/>
      <c r="G10" s="607"/>
      <c r="H10" s="607"/>
      <c r="I10" s="607"/>
      <c r="J10" s="609"/>
    </row>
    <row r="11" spans="1:11" x14ac:dyDescent="0.2">
      <c r="A11" s="616" t="s">
        <v>576</v>
      </c>
      <c r="B11" s="617" t="s">
        <v>694</v>
      </c>
      <c r="C11" s="617" t="s">
        <v>670</v>
      </c>
      <c r="D11" s="618" t="str">
        <f>IF(I44="UDEN FOR OMRÅDET","NOT POSSIBLE",IF(J44="UDEN FOR OMRÅDET","NOT POSSIBLE",(-0.0007*B6^3+0.0111*B6^2+0.2671*B6-0.1437)))</f>
        <v>NOT POSSIBLE</v>
      </c>
      <c r="E11" s="619" t="str">
        <f>IF(I44="UDEN FOR OMRÅDET","NOT POSSIBLE",IF($B$6&lt;3.9,6.5,((((0.25*D11^3-0.25*D11^2+0.5*D11+6))))))</f>
        <v>NOT POSSIBLE</v>
      </c>
      <c r="F11" s="607"/>
      <c r="G11" s="607"/>
      <c r="H11" s="607"/>
      <c r="I11" s="607"/>
      <c r="J11" s="609"/>
    </row>
    <row r="12" spans="1:11" x14ac:dyDescent="0.2">
      <c r="A12" s="620" t="s">
        <v>577</v>
      </c>
      <c r="B12" s="621" t="s">
        <v>695</v>
      </c>
      <c r="C12" s="621" t="s">
        <v>671</v>
      </c>
      <c r="D12" s="618" t="str">
        <f>IF(I45="UDEN FOR OMRÅDET","NOT POSSIBLE",IF(J45="UDEN FOR OMRÅDET","NOT POSSIBLE",(-0.000159*B6^3+0.004239*B6^2+0.159774*B6-0.099711)))</f>
        <v>NOT POSSIBLE</v>
      </c>
      <c r="E12" s="619" t="str">
        <f>IF(I45="UDEN FOR OMRÅDET","NOT POSSIBLE",IF($B$6&lt;6.2,19,((((0.6667*D12^3-0.5*D12^2-1.1667*D12+20))))))</f>
        <v>NOT POSSIBLE</v>
      </c>
      <c r="F12" s="607"/>
      <c r="G12" s="607"/>
      <c r="H12" s="607"/>
      <c r="I12" s="607"/>
      <c r="J12" s="609"/>
    </row>
    <row r="13" spans="1:11" x14ac:dyDescent="0.2">
      <c r="A13" s="616" t="s">
        <v>578</v>
      </c>
      <c r="B13" s="617" t="s">
        <v>696</v>
      </c>
      <c r="C13" s="617" t="s">
        <v>672</v>
      </c>
      <c r="D13" s="618" t="str">
        <f>IF(I46="UDEN FOR OMRÅDET","NOT POSSIBLE",IF(J46="UDEN FOR OMRÅDET","NOT POSSIBLE",(-0.000124*B6^3+0.002487*B6^2+0.185365*B6-0.283831)))</f>
        <v>NOT POSSIBLE</v>
      </c>
      <c r="E13" s="619" t="str">
        <f>IF(I46="UDEN FOR OMRÅDET","NOT POSSIBLE",IF($B$6&lt;6.6,15,((((0.6667*D13^3-4.5*D13^2+11.833*D13+7))))))</f>
        <v>NOT POSSIBLE</v>
      </c>
      <c r="F13" s="607"/>
      <c r="G13" s="607"/>
      <c r="H13" s="607"/>
      <c r="I13" s="607"/>
      <c r="J13" s="609"/>
    </row>
    <row r="14" spans="1:11" x14ac:dyDescent="0.2">
      <c r="A14" s="620" t="s">
        <v>579</v>
      </c>
      <c r="B14" s="621" t="s">
        <v>697</v>
      </c>
      <c r="C14" s="621" t="s">
        <v>673</v>
      </c>
      <c r="D14" s="618" t="str">
        <f>IF(I47="UDEN FOR OMRÅDET","NOT POSSIBLE",IF(J47="UDEN FOR OMRÅDET","NOT POSSIBLE",(0.00000407*B6^4-0.00036799*B6^3+0.01016138*B6^2+0.03167768*B6+0.12121138)))</f>
        <v>NOT POSSIBLE</v>
      </c>
      <c r="E14" s="619" t="str">
        <f>IF(I47="UDEN FOR OMRÅDET","NOT POSSIBLE",IF($B$6&lt;9.1,30,((((2.6667*D14^3-15.5*D14^2+29.833*D14+13))))))</f>
        <v>NOT POSSIBLE</v>
      </c>
      <c r="F14" s="607"/>
      <c r="G14" s="607"/>
      <c r="H14" s="607"/>
      <c r="I14" s="607"/>
      <c r="J14" s="609"/>
    </row>
    <row r="15" spans="1:11" x14ac:dyDescent="0.2">
      <c r="A15" s="616" t="s">
        <v>580</v>
      </c>
      <c r="B15" s="617" t="s">
        <v>698</v>
      </c>
      <c r="C15" s="617" t="s">
        <v>674</v>
      </c>
      <c r="D15" s="618" t="str">
        <f>IF(I48="UDEN FOR OMRÅDET","NOT POSSIBLE",IF(J48="UDEN FOR OMRÅDET","NOT POSSIBLE",(-0.000044*B6^3+0.000728*B6^2+0.150689*B6-0.254301)))</f>
        <v>NOT POSSIBLE</v>
      </c>
      <c r="E15" s="619" t="str">
        <f>IF(I48="UDEN FOR OMRÅDET","NOT POSSIBLE",IF($B$6&lt;8.3,16,((((0.5*D15^3-3*D15^2+7.5*D15+11))))))</f>
        <v>NOT POSSIBLE</v>
      </c>
      <c r="F15" s="607"/>
      <c r="G15" s="607"/>
      <c r="H15" s="607"/>
      <c r="I15" s="607"/>
      <c r="J15" s="609"/>
    </row>
    <row r="16" spans="1:11" x14ac:dyDescent="0.2">
      <c r="A16" s="620" t="s">
        <v>581</v>
      </c>
      <c r="B16" s="621" t="s">
        <v>699</v>
      </c>
      <c r="C16" s="621" t="s">
        <v>675</v>
      </c>
      <c r="D16" s="618" t="str">
        <f>IF(I49="UDEN FOR OMRÅDET","NOT POSSIBLE",IF(J49="UDEN FOR OMRÅDET","NOT POSSIBLE",(0.00000156*B6^4-0.0001838*B6^3+0.00652234*B6^2+0.0239868*B6+0.17174038)))</f>
        <v>NOT POSSIBLE</v>
      </c>
      <c r="E16" s="619" t="str">
        <f>IF(I49="UDEN FOR OMRÅDET","NOT POSSIBLE",IF($B$6&lt;11,23,((((1.8245614*D16^3-9.20300752*D16^2+16.72431078*D16+13.67293233))))))</f>
        <v>NOT POSSIBLE</v>
      </c>
      <c r="F16" s="607"/>
      <c r="G16" s="607"/>
      <c r="H16" s="607"/>
      <c r="I16" s="607"/>
      <c r="J16" s="609"/>
    </row>
    <row r="17" spans="1:12" x14ac:dyDescent="0.2">
      <c r="A17" s="616" t="s">
        <v>605</v>
      </c>
      <c r="B17" s="617" t="s">
        <v>700</v>
      </c>
      <c r="C17" s="617" t="s">
        <v>676</v>
      </c>
      <c r="D17" s="618" t="str">
        <f>IF(I50="UDEN FOR OMRÅDET","NOT POSSIBLE",IF(J50="UDEN FOR OMRÅDET","NOT POSSIBLE",(0.0000006139*B6^4-0.000106561*B6^3+0.0058288674*B6^2-0.0444580014*B6+0.4579242305)))</f>
        <v>NOT POSSIBLE</v>
      </c>
      <c r="E17" s="619" t="str">
        <f>IF(I50="UDEN FOR OMRÅDET","NOT POSSIBLE",IF($B$6&lt;8.3,16,((((0.0000690761*B6^3-0.0045265849*B6^2+0.2633541895*B6+16.2995714859))))))</f>
        <v>NOT POSSIBLE</v>
      </c>
      <c r="F17" s="607"/>
      <c r="G17" s="607"/>
      <c r="H17" s="607"/>
      <c r="I17" s="607"/>
      <c r="J17" s="609"/>
    </row>
    <row r="18" spans="1:12" x14ac:dyDescent="0.2">
      <c r="A18" s="620" t="s">
        <v>606</v>
      </c>
      <c r="B18" s="621" t="s">
        <v>701</v>
      </c>
      <c r="C18" s="621" t="s">
        <v>673</v>
      </c>
      <c r="D18" s="618" t="str">
        <f>IF(I51="UDEN FOR OMRÅDET","NOT POSSIBLE",IF(J51="UDEN FOR OMRÅDET","NOT POSSIBLE",(0.0000002014*B6^4-0.0000448209*B6^3+0.0030842417*B6^2-0.0208500823*B6+0.3651879533)))</f>
        <v>NOT POSSIBLE</v>
      </c>
      <c r="E18" s="619" t="str">
        <f>IF(I51="UDEN FOR OMRÅDET","NOT POSSIBLE",IF($B$6&lt;8.3,16,((((0.0000124414*B6^3+0.0047437114*B6^2+0.0004843365*B6+27.4237821061))))))</f>
        <v>NOT POSSIBLE</v>
      </c>
      <c r="F18" s="607"/>
      <c r="G18" s="607"/>
      <c r="H18" s="607"/>
      <c r="I18" s="607"/>
      <c r="J18" s="609"/>
    </row>
    <row r="19" spans="1:12" x14ac:dyDescent="0.2">
      <c r="A19" s="616" t="s">
        <v>609</v>
      </c>
      <c r="B19" s="617" t="s">
        <v>611</v>
      </c>
      <c r="C19" s="617" t="s">
        <v>674</v>
      </c>
      <c r="D19" s="618" t="str">
        <f>IF(I52="UDEN FOR OMRÅDET","NOT POSSIBLE",IF(J52="UDEN FOR OMRÅDET","NOT POSSIBLE",(-0.0000024*B6^3+0.00033459*B6^2+0.02873223*B6-0.03574711)))</f>
        <v>NOT POSSIBLE</v>
      </c>
      <c r="E19" s="619" t="str">
        <f>IF(I52="UDEN FOR OMRÅDET","NOT POSSIBLE",IF($B$6&lt;28.5,16,((((0.00004639*B6^3-0.00631449*B6^2+0.36332191*B6+9.70047171))))))</f>
        <v>NOT POSSIBLE</v>
      </c>
      <c r="F19" s="607"/>
      <c r="G19" s="607"/>
      <c r="H19" s="607"/>
      <c r="I19" s="607"/>
      <c r="J19" s="609"/>
    </row>
    <row r="20" spans="1:12" x14ac:dyDescent="0.2">
      <c r="A20" s="620" t="s">
        <v>610</v>
      </c>
      <c r="B20" s="621" t="s">
        <v>612</v>
      </c>
      <c r="C20" s="621" t="s">
        <v>677</v>
      </c>
      <c r="D20" s="618" t="str">
        <f>IF(I53="UDEN FOR OMRÅDET","NOT POSSIBLE",IF(J53="UDEN FOR OMRÅDET","NOT POSSIBLE",(0.0000000087*B6^4-0.0000042912*B6^3+0.000602127*B6^2+0.0030265472*B6+0.2709223762)))</f>
        <v>NOT POSSIBLE</v>
      </c>
      <c r="E20" s="619" t="str">
        <f>IF(I53="UDEN FOR OMRÅDET","NOT POSSIBLE",IF($B$6&lt;36.5,27,((((0.00003815*B6^3-0.00623625*B6^2+0.39933964*B6+18.87714266))))))</f>
        <v>NOT POSSIBLE</v>
      </c>
      <c r="F20" s="607"/>
      <c r="G20" s="607"/>
      <c r="H20" s="607"/>
      <c r="I20" s="607"/>
      <c r="J20" s="609"/>
    </row>
    <row r="21" spans="1:12" x14ac:dyDescent="0.2">
      <c r="A21" s="616" t="s">
        <v>617</v>
      </c>
      <c r="B21" s="617" t="s">
        <v>618</v>
      </c>
      <c r="C21" s="617" t="s">
        <v>678</v>
      </c>
      <c r="D21" s="618" t="str">
        <f>IF(I54="UDEN FOR OMRÅDET","NOT POSSIBLE",IF(J54="UDEN FOR OMRÅDET","NOT POSSIBLE",(0.0000000079*B6^4-0.0000031427*B6^3+0.0003781874*B6^2+0.0139576939*B6+0.0433215217)))</f>
        <v>NOT POSSIBLE</v>
      </c>
      <c r="E21" s="619" t="str">
        <f>IF(I54="UDEN FOR OMRÅDET","NOT POSSIBLE",IF($B$6&lt;70.4,21,((((-1.6666666667*D21^3+13.5*D21^2-27.8333333333*D21+37))))))</f>
        <v>NOT POSSIBLE</v>
      </c>
      <c r="F21" s="607"/>
      <c r="G21" s="607"/>
      <c r="H21" s="607"/>
      <c r="I21" s="607"/>
      <c r="J21" s="609"/>
    </row>
    <row r="22" spans="1:12" x14ac:dyDescent="0.2">
      <c r="A22" s="620" t="s">
        <v>619</v>
      </c>
      <c r="B22" s="621" t="s">
        <v>620</v>
      </c>
      <c r="C22" s="621" t="s">
        <v>679</v>
      </c>
      <c r="D22" s="618" t="str">
        <f>IF(I55="UDEN FOR OMRÅDET","NOT POSSIBLE",IF(J55="UDEN FOR OMRÅDET","NOT POSSIBLE",(0.000000004262661*B6^4-0.000002203935325*B6^3+0.000349196460344*B6^2+0.003639383225018*B6+0.193846671691572)))</f>
        <v>NOT POSSIBLE</v>
      </c>
      <c r="E22" s="619" t="str">
        <f>IF(I55="UDEN FOR OMRÅDET","NOT POSSIBLE",IF($B$6&lt;89,33,((((-0.6666666667*D22^3+9.5*D22^2-22.8333333333*D22+47))))))</f>
        <v>NOT POSSIBLE</v>
      </c>
      <c r="F22" s="607"/>
      <c r="G22" s="607"/>
      <c r="H22" s="607"/>
      <c r="I22" s="607"/>
      <c r="J22" s="609"/>
    </row>
    <row r="23" spans="1:12" x14ac:dyDescent="0.2">
      <c r="A23" s="616" t="s">
        <v>668</v>
      </c>
      <c r="B23" s="617" t="s">
        <v>690</v>
      </c>
      <c r="C23" s="617" t="s">
        <v>681</v>
      </c>
      <c r="D23" s="618" t="str">
        <f>IF(I56="UDEN FOR OMRÅDET","NOT POSSIBLE",IF(J56="UDEN FOR OMRÅDET","NOT POSSIBLE",(-0.000000006659004*B6^4+0.000004735461176*B6^3-0.001276874830972*B6^2+0.177325762767072*B6-7.83507332221808)))</f>
        <v>NOT POSSIBLE</v>
      </c>
      <c r="E23" s="619" t="str">
        <f>IF(I56="UDEN FOR OMRÅDET","NOT POSSIBLE",IF($B$6&lt;70.4,21,((((-0.5*D23^3+4.49999999999909*D23^2-4.99999999999727*D23+11.999999999996))))))</f>
        <v>NOT POSSIBLE</v>
      </c>
      <c r="F23" s="607"/>
      <c r="G23" s="607"/>
      <c r="H23" s="607"/>
      <c r="I23" s="607"/>
      <c r="J23" s="609"/>
    </row>
    <row r="24" spans="1:12" x14ac:dyDescent="0.2">
      <c r="A24" s="620" t="s">
        <v>669</v>
      </c>
      <c r="B24" s="621" t="s">
        <v>691</v>
      </c>
      <c r="C24" s="621" t="s">
        <v>680</v>
      </c>
      <c r="D24" s="618">
        <f>IF(I57="UDEN FOR OMRÅDET","NOT POSSIBLE",IF(J57="UDEN FOR OMRÅDET","NOT POSSIBLE",(-0.000000000611426*B6^4+0.000000656353947*B6^3-0.000284996728231*B6^2+0.074287325446848*B6-5.10628086784494)))</f>
        <v>3.5204025888045587</v>
      </c>
      <c r="E24" s="619">
        <f>IF(I57="UDEN FOR OMRÅDET","NOT POSSIBLE",IF($B$6&lt;89,33,((((-2.16666666666652*D24^3+17.9999999999977*D24^2-28.8333333333271*D24+43.9999999999905))))))</f>
        <v>71.043399748919114</v>
      </c>
      <c r="F24" s="607"/>
      <c r="G24" s="607"/>
      <c r="H24" s="607"/>
      <c r="I24" s="607"/>
      <c r="J24" s="609"/>
    </row>
    <row r="25" spans="1:12" x14ac:dyDescent="0.2">
      <c r="A25" s="616" t="s">
        <v>686</v>
      </c>
      <c r="B25" s="617" t="s">
        <v>692</v>
      </c>
      <c r="C25" s="617" t="s">
        <v>685</v>
      </c>
      <c r="D25" s="618">
        <f>IF(I58="UDEN FOR OMRÅDET","NOT POSSIBLE",IF(J58="UDEN FOR OMRÅDET","NOT POSSIBLE",(-2.52847125E-12*B6^5+4.68657669347E-09*B6^4-3.38486827279208E-06*B6^3+0.00116642754838534*B6^2-0.177120541975483*B6+10.2818610440989)))</f>
        <v>1.8526105657247207</v>
      </c>
      <c r="E25" s="619">
        <f>IF(I58="UDEN FOR OMRÅDET","NOT POSSIBLE",IF($B$6&lt;70.4,21,((((-0.833333*D25^3+7.5*D25^2-11.666667*D25+15))))))</f>
        <v>13.828733526161784</v>
      </c>
      <c r="F25" s="607"/>
      <c r="G25" s="607"/>
      <c r="H25" s="607"/>
      <c r="I25" s="607"/>
      <c r="J25" s="609"/>
    </row>
    <row r="26" spans="1:12" x14ac:dyDescent="0.2">
      <c r="A26" s="620" t="s">
        <v>687</v>
      </c>
      <c r="B26" s="621" t="s">
        <v>693</v>
      </c>
      <c r="C26" s="621" t="s">
        <v>672</v>
      </c>
      <c r="D26" s="618">
        <f>IF(I59="UDEN FOR OMRÅDET","NOT POSSIBLE",IF(J59="UDEN FOR OMRÅDET","NOT POSSIBLE",(8.5275752E-13*B6^5-1.96247855196E-09*B6^4+1.79855952093491E-06*B6^3-0.000825168971576492*B6^2+0.197731076146651*B6-18.0380359494749
)))</f>
        <v>1.0910040502963163</v>
      </c>
      <c r="E26" s="619">
        <f>IF(I59="UDEN FOR OMRÅDET","NOT POSSIBLE",IF($B$6&lt;89,33,((((-0.833333*D26^3+10*D26^2-14.166667*D26+20))))))</f>
        <v>15.364831872612566</v>
      </c>
      <c r="F26" s="607"/>
      <c r="G26" s="607"/>
      <c r="H26" s="607"/>
      <c r="I26" s="607"/>
      <c r="J26" s="609"/>
    </row>
    <row r="27" spans="1:12" x14ac:dyDescent="0.2">
      <c r="A27" s="616" t="s">
        <v>688</v>
      </c>
      <c r="B27" s="617" t="s">
        <v>692</v>
      </c>
      <c r="C27" s="617" t="s">
        <v>685</v>
      </c>
      <c r="D27" s="618">
        <f>IF(I60="UDEN FOR OMRÅDET","NOT POSSIBLE",IF(J60="UDEN FOR OMRÅDET","NOT POSSIBLE",(-2.52847125E-12*B6^5+4.68657669347E-09*B6^4-3.38486827279208E-06*B6^3+0.00116642754838534*B6^2-0.177120541975483*B6+10.2818610440989)))</f>
        <v>1.8526105657247207</v>
      </c>
      <c r="E27" s="619">
        <f>IF(I60="UDEN FOR OMRÅDET","NOT POSSIBLE",IF($B$6&lt;70.4,21,((((-0.833333*D27^3+7.5*D27^2-11.666667*D27+15))))))</f>
        <v>13.828733526161784</v>
      </c>
      <c r="F27" s="607"/>
      <c r="G27" s="607"/>
      <c r="H27" s="607"/>
      <c r="I27" s="607"/>
      <c r="J27" s="609"/>
    </row>
    <row r="28" spans="1:12" ht="13.5" thickBot="1" x14ac:dyDescent="0.25">
      <c r="A28" s="622" t="s">
        <v>689</v>
      </c>
      <c r="B28" s="623" t="s">
        <v>693</v>
      </c>
      <c r="C28" s="623" t="s">
        <v>672</v>
      </c>
      <c r="D28" s="624">
        <f>IF(I61="UDEN FOR OMRÅDET","NOT POSSIBLE",IF(J61="UDEN FOR OMRÅDET","NOT POSSIBLE",(8.5275752E-13*B6^5-1.96247855196E-09*B6^4+1.79855952093491E-06*B6^3-0.000825168971576492*B6^2+0.197731076146651*B6-18.0380359494749
)))</f>
        <v>1.0910040502963163</v>
      </c>
      <c r="E28" s="625">
        <f>IF(I61="UDEN FOR OMRÅDET","NOT POSSIBLE",IF($B$6&lt;89,33,((((-0.833333*D28^3+10*D28^2-14.166667*D28+20))))))</f>
        <v>15.364831872612566</v>
      </c>
      <c r="F28" s="607"/>
      <c r="G28" s="607"/>
      <c r="H28" s="607"/>
      <c r="I28" s="607"/>
      <c r="J28" s="609"/>
    </row>
    <row r="29" spans="1:12" ht="13.5" thickTop="1" x14ac:dyDescent="0.2">
      <c r="A29" s="606"/>
      <c r="B29" s="607"/>
      <c r="C29" s="607"/>
      <c r="D29" s="607"/>
      <c r="F29" s="607"/>
      <c r="G29" s="607"/>
      <c r="H29" s="607"/>
      <c r="I29" s="607"/>
      <c r="J29" s="609"/>
    </row>
    <row r="30" spans="1:12" x14ac:dyDescent="0.2">
      <c r="A30" s="606"/>
      <c r="B30" s="607"/>
      <c r="C30" s="607"/>
      <c r="D30" s="607"/>
      <c r="F30" s="607"/>
      <c r="G30" s="607"/>
      <c r="H30" s="607"/>
      <c r="I30" s="607"/>
      <c r="J30" s="609"/>
      <c r="L30" s="626"/>
    </row>
    <row r="31" spans="1:12" x14ac:dyDescent="0.2">
      <c r="A31" s="606"/>
      <c r="B31" s="607"/>
      <c r="C31" s="607"/>
      <c r="D31" s="607"/>
      <c r="F31" s="607"/>
      <c r="G31" s="607"/>
      <c r="H31" s="607"/>
      <c r="I31" s="607"/>
      <c r="J31" s="609"/>
    </row>
    <row r="32" spans="1:12" x14ac:dyDescent="0.2">
      <c r="A32" s="606"/>
      <c r="B32" s="607"/>
      <c r="C32" s="607"/>
      <c r="D32" s="607"/>
      <c r="F32" s="607"/>
      <c r="G32" s="607"/>
      <c r="H32" s="607"/>
      <c r="I32" s="607"/>
      <c r="J32" s="609"/>
    </row>
    <row r="33" spans="1:15" x14ac:dyDescent="0.2">
      <c r="A33" s="606"/>
      <c r="B33" s="607"/>
      <c r="C33" s="607"/>
      <c r="D33" s="607"/>
      <c r="F33" s="607"/>
      <c r="G33" s="607"/>
      <c r="H33" s="607"/>
      <c r="I33" s="607"/>
      <c r="J33" s="609"/>
    </row>
    <row r="34" spans="1:15" x14ac:dyDescent="0.2">
      <c r="A34" s="606"/>
      <c r="B34" s="607"/>
      <c r="C34" s="607"/>
      <c r="D34" s="607"/>
      <c r="F34" s="607"/>
      <c r="G34" s="607"/>
      <c r="H34" s="607"/>
      <c r="I34" s="607"/>
      <c r="J34" s="609"/>
    </row>
    <row r="35" spans="1:15" x14ac:dyDescent="0.2">
      <c r="A35" s="606"/>
      <c r="B35" s="607"/>
      <c r="C35" s="607"/>
      <c r="D35" s="607"/>
      <c r="F35" s="607"/>
      <c r="G35" s="607"/>
      <c r="H35" s="607"/>
      <c r="I35" s="607"/>
      <c r="J35" s="609"/>
    </row>
    <row r="36" spans="1:15" x14ac:dyDescent="0.2">
      <c r="A36" s="606"/>
      <c r="B36" s="607"/>
      <c r="C36" s="607"/>
      <c r="D36" s="607"/>
      <c r="F36" s="607"/>
      <c r="G36" s="607"/>
      <c r="H36" s="607"/>
      <c r="I36" s="607"/>
      <c r="J36" s="609"/>
    </row>
    <row r="37" spans="1:15" x14ac:dyDescent="0.2">
      <c r="A37" s="606"/>
      <c r="B37" s="607"/>
      <c r="C37" s="607"/>
      <c r="D37" s="607"/>
      <c r="E37" s="627"/>
      <c r="F37" s="607"/>
      <c r="G37" s="607"/>
      <c r="H37" s="607"/>
      <c r="I37" s="607"/>
      <c r="J37" s="609"/>
    </row>
    <row r="38" spans="1:15" ht="13.5" thickBot="1" x14ac:dyDescent="0.25">
      <c r="A38" s="32" t="s">
        <v>178</v>
      </c>
      <c r="B38" s="628"/>
      <c r="C38" s="628"/>
      <c r="D38" s="629"/>
      <c r="E38" s="628"/>
      <c r="F38" s="628"/>
      <c r="G38" s="628"/>
      <c r="H38" s="628"/>
      <c r="I38" s="628"/>
      <c r="J38" s="630"/>
    </row>
    <row r="39" spans="1:15" ht="10.5" customHeight="1" thickTop="1" x14ac:dyDescent="0.2">
      <c r="D39" s="631"/>
    </row>
    <row r="40" spans="1:15" x14ac:dyDescent="0.2">
      <c r="D40" s="631"/>
      <c r="L40" s="632"/>
      <c r="M40" s="632"/>
    </row>
    <row r="41" spans="1:15" s="635" customFormat="1" ht="31.5" hidden="1" customHeight="1" x14ac:dyDescent="0.4">
      <c r="A41" s="731" t="s">
        <v>11</v>
      </c>
      <c r="B41" s="731"/>
      <c r="C41" s="731"/>
      <c r="D41" s="732"/>
      <c r="E41" s="732"/>
      <c r="F41" s="732"/>
      <c r="G41" s="732"/>
      <c r="H41" s="732"/>
      <c r="I41" s="732"/>
      <c r="J41" s="732"/>
      <c r="K41" s="633"/>
      <c r="L41" s="634"/>
      <c r="M41" s="634"/>
      <c r="N41" s="634"/>
      <c r="O41" s="634"/>
    </row>
    <row r="42" spans="1:15" ht="13.5" hidden="1" thickBot="1" x14ac:dyDescent="0.25"/>
    <row r="43" spans="1:15" ht="14.25" hidden="1" thickTop="1" thickBot="1" x14ac:dyDescent="0.25">
      <c r="A43" s="636" t="s">
        <v>0</v>
      </c>
      <c r="B43" s="637"/>
      <c r="C43" s="637"/>
      <c r="D43" s="638" t="s">
        <v>1</v>
      </c>
      <c r="E43" s="638" t="s">
        <v>3</v>
      </c>
      <c r="F43" s="638" t="s">
        <v>8</v>
      </c>
      <c r="G43" s="638" t="s">
        <v>4</v>
      </c>
      <c r="H43" s="638" t="s">
        <v>5</v>
      </c>
      <c r="I43" s="639" t="s">
        <v>6</v>
      </c>
      <c r="J43" s="640"/>
    </row>
    <row r="44" spans="1:15" hidden="1" x14ac:dyDescent="0.2">
      <c r="A44" s="641" t="s">
        <v>576</v>
      </c>
      <c r="B44" s="642"/>
      <c r="C44" s="642"/>
      <c r="D44" s="643"/>
      <c r="E44" s="644"/>
      <c r="F44" s="645">
        <v>33.5</v>
      </c>
      <c r="G44" s="646">
        <v>2.48</v>
      </c>
      <c r="H44" s="647">
        <v>15</v>
      </c>
      <c r="I44" s="648" t="str">
        <f t="shared" ref="I44:I55" si="0">IF($B$6&lt;=G44-0.001,"UDEN FOR OMRÅDET",IF($B$6&gt;=H44+0.1,"UDEN FOR OMRÅDET",$B$6))</f>
        <v>UDEN FOR OMRÅDET</v>
      </c>
      <c r="J44" s="649"/>
    </row>
    <row r="45" spans="1:15" hidden="1" x14ac:dyDescent="0.2">
      <c r="A45" s="650" t="s">
        <v>577</v>
      </c>
      <c r="B45" s="642"/>
      <c r="C45" s="642"/>
      <c r="D45" s="643"/>
      <c r="E45" s="643"/>
      <c r="F45" s="645">
        <v>33.5</v>
      </c>
      <c r="G45" s="646">
        <v>3.92</v>
      </c>
      <c r="H45" s="647">
        <v>24</v>
      </c>
      <c r="I45" s="648" t="str">
        <f t="shared" si="0"/>
        <v>UDEN FOR OMRÅDET</v>
      </c>
      <c r="J45" s="649"/>
    </row>
    <row r="46" spans="1:15" hidden="1" x14ac:dyDescent="0.2">
      <c r="A46" s="651" t="s">
        <v>578</v>
      </c>
      <c r="B46" s="642"/>
      <c r="C46" s="642"/>
      <c r="D46" s="643"/>
      <c r="E46" s="643"/>
      <c r="F46" s="645">
        <v>50</v>
      </c>
      <c r="G46" s="646">
        <v>4.38</v>
      </c>
      <c r="H46" s="647">
        <v>25</v>
      </c>
      <c r="I46" s="648" t="str">
        <f t="shared" si="0"/>
        <v>UDEN FOR OMRÅDET</v>
      </c>
      <c r="J46" s="649"/>
    </row>
    <row r="47" spans="1:15" hidden="1" x14ac:dyDescent="0.2">
      <c r="A47" s="650" t="s">
        <v>579</v>
      </c>
      <c r="B47" s="642"/>
      <c r="C47" s="642"/>
      <c r="D47" s="643"/>
      <c r="E47" s="643"/>
      <c r="F47" s="645">
        <v>50</v>
      </c>
      <c r="G47" s="646">
        <v>5.95</v>
      </c>
      <c r="H47" s="647">
        <v>35</v>
      </c>
      <c r="I47" s="648" t="str">
        <f t="shared" si="0"/>
        <v>UDEN FOR OMRÅDET</v>
      </c>
      <c r="J47" s="649"/>
    </row>
    <row r="48" spans="1:15" hidden="1" x14ac:dyDescent="0.2">
      <c r="A48" s="651" t="s">
        <v>580</v>
      </c>
      <c r="B48" s="642"/>
      <c r="C48" s="642"/>
      <c r="D48" s="643"/>
      <c r="E48" s="643"/>
      <c r="F48" s="645">
        <v>68</v>
      </c>
      <c r="G48" s="646">
        <v>5.3</v>
      </c>
      <c r="H48" s="647">
        <v>34</v>
      </c>
      <c r="I48" s="648" t="str">
        <f t="shared" si="0"/>
        <v>UDEN FOR OMRÅDET</v>
      </c>
      <c r="J48" s="649"/>
    </row>
    <row r="49" spans="1:10" hidden="1" x14ac:dyDescent="0.2">
      <c r="A49" s="650" t="s">
        <v>581</v>
      </c>
      <c r="B49" s="642"/>
      <c r="C49" s="642"/>
      <c r="D49" s="643"/>
      <c r="E49" s="643"/>
      <c r="F49" s="645">
        <v>68</v>
      </c>
      <c r="G49" s="646">
        <v>7</v>
      </c>
      <c r="H49" s="647">
        <v>43</v>
      </c>
      <c r="I49" s="648" t="str">
        <f t="shared" si="0"/>
        <v>UDEN FOR OMRÅDET</v>
      </c>
      <c r="J49" s="649"/>
    </row>
    <row r="50" spans="1:10" hidden="1" x14ac:dyDescent="0.2">
      <c r="A50" s="651" t="s">
        <v>605</v>
      </c>
      <c r="B50" s="642"/>
      <c r="C50" s="642"/>
      <c r="D50" s="643"/>
      <c r="E50" s="643"/>
      <c r="F50" s="645">
        <v>115</v>
      </c>
      <c r="G50" s="646">
        <v>12.1</v>
      </c>
      <c r="H50" s="647">
        <v>68</v>
      </c>
      <c r="I50" s="648" t="str">
        <f t="shared" si="0"/>
        <v>UDEN FOR OMRÅDET</v>
      </c>
      <c r="J50" s="649"/>
    </row>
    <row r="51" spans="1:10" hidden="1" x14ac:dyDescent="0.2">
      <c r="A51" s="650" t="s">
        <v>606</v>
      </c>
      <c r="B51" s="642"/>
      <c r="C51" s="642"/>
      <c r="D51" s="643"/>
      <c r="E51" s="643"/>
      <c r="F51" s="645">
        <v>115</v>
      </c>
      <c r="G51" s="646">
        <v>14.8</v>
      </c>
      <c r="H51" s="647">
        <v>90</v>
      </c>
      <c r="I51" s="648" t="str">
        <f t="shared" si="0"/>
        <v>UDEN FOR OMRÅDET</v>
      </c>
      <c r="J51" s="649"/>
    </row>
    <row r="52" spans="1:10" hidden="1" x14ac:dyDescent="0.2">
      <c r="A52" s="651" t="s">
        <v>609</v>
      </c>
      <c r="B52" s="642"/>
      <c r="C52" s="642"/>
      <c r="D52" s="643"/>
      <c r="E52" s="643"/>
      <c r="F52" s="645">
        <v>167</v>
      </c>
      <c r="G52" s="538">
        <v>18.5</v>
      </c>
      <c r="H52" s="647">
        <v>110</v>
      </c>
      <c r="I52" s="648" t="str">
        <f t="shared" si="0"/>
        <v>UDEN FOR OMRÅDET</v>
      </c>
      <c r="J52" s="649"/>
    </row>
    <row r="53" spans="1:10" hidden="1" x14ac:dyDescent="0.2">
      <c r="A53" s="650" t="s">
        <v>610</v>
      </c>
      <c r="B53" s="642"/>
      <c r="C53" s="642"/>
      <c r="D53" s="643"/>
      <c r="E53" s="643"/>
      <c r="F53" s="645">
        <v>167</v>
      </c>
      <c r="G53" s="538">
        <v>23</v>
      </c>
      <c r="H53" s="647">
        <v>135</v>
      </c>
      <c r="I53" s="648" t="str">
        <f t="shared" si="0"/>
        <v>UDEN FOR OMRÅDET</v>
      </c>
      <c r="J53" s="649"/>
    </row>
    <row r="54" spans="1:10" hidden="1" x14ac:dyDescent="0.2">
      <c r="A54" s="651" t="s">
        <v>617</v>
      </c>
      <c r="B54" s="642"/>
      <c r="C54" s="642"/>
      <c r="D54" s="643"/>
      <c r="E54" s="643"/>
      <c r="F54" s="645">
        <v>250</v>
      </c>
      <c r="G54" s="538">
        <v>25.6</v>
      </c>
      <c r="H54" s="647">
        <v>148</v>
      </c>
      <c r="I54" s="648" t="str">
        <f t="shared" si="0"/>
        <v>UDEN FOR OMRÅDET</v>
      </c>
      <c r="J54" s="649"/>
    </row>
    <row r="55" spans="1:10" hidden="1" x14ac:dyDescent="0.2">
      <c r="A55" s="650" t="s">
        <v>619</v>
      </c>
      <c r="B55" s="642"/>
      <c r="C55" s="642"/>
      <c r="D55" s="643"/>
      <c r="E55" s="643"/>
      <c r="F55" s="645">
        <v>241.9</v>
      </c>
      <c r="G55" s="538">
        <v>32</v>
      </c>
      <c r="H55" s="647">
        <v>195</v>
      </c>
      <c r="I55" s="648" t="str">
        <f t="shared" si="0"/>
        <v>UDEN FOR OMRÅDET</v>
      </c>
      <c r="J55" s="649"/>
    </row>
    <row r="56" spans="1:10" hidden="1" x14ac:dyDescent="0.2">
      <c r="A56" s="651" t="s">
        <v>668</v>
      </c>
      <c r="B56" s="642"/>
      <c r="C56" s="642"/>
      <c r="D56" s="643"/>
      <c r="E56" s="643"/>
      <c r="F56" s="645">
        <v>371</v>
      </c>
      <c r="G56" s="538">
        <v>95</v>
      </c>
      <c r="H56" s="647">
        <v>210</v>
      </c>
      <c r="I56" s="648" t="str">
        <f>IF($B$6&lt;G56,"UDEN FOR OMRÅDET",IF($B$6&gt;H56,"UDEN FOR OMRÅDET",$B$6))</f>
        <v>UDEN FOR OMRÅDET</v>
      </c>
      <c r="J56" s="649"/>
    </row>
    <row r="57" spans="1:10" hidden="1" x14ac:dyDescent="0.2">
      <c r="A57" s="650" t="s">
        <v>669</v>
      </c>
      <c r="B57" s="642"/>
      <c r="C57" s="642"/>
      <c r="D57" s="643"/>
      <c r="E57" s="643"/>
      <c r="F57" s="645">
        <v>317</v>
      </c>
      <c r="G57" s="538">
        <v>130</v>
      </c>
      <c r="H57" s="647">
        <v>280</v>
      </c>
      <c r="I57" s="648">
        <f>IF($B$6&lt;G57,"UDEN FOR OMRÅDET",IF($B$6&gt;H57,"UDEN FOR OMRÅDET",$B$6))</f>
        <v>250</v>
      </c>
      <c r="J57" s="649"/>
    </row>
    <row r="58" spans="1:10" hidden="1" x14ac:dyDescent="0.2">
      <c r="A58" s="651" t="s">
        <v>686</v>
      </c>
      <c r="B58" s="642"/>
      <c r="C58" s="642"/>
      <c r="D58" s="643"/>
      <c r="E58" s="643"/>
      <c r="F58" s="645">
        <v>840</v>
      </c>
      <c r="G58" s="538">
        <v>190</v>
      </c>
      <c r="H58" s="647">
        <v>475</v>
      </c>
      <c r="I58" s="648">
        <f t="shared" ref="I58:I61" si="1">IF($B$6&lt;G58,"UDEN FOR OMRÅDET",IF($B$6&gt;H58,"UDEN FOR OMRÅDET",$B$6))</f>
        <v>250</v>
      </c>
      <c r="J58" s="649"/>
    </row>
    <row r="59" spans="1:10" hidden="1" x14ac:dyDescent="0.2">
      <c r="A59" s="650" t="s">
        <v>687</v>
      </c>
      <c r="B59" s="642"/>
      <c r="C59" s="642"/>
      <c r="D59" s="643"/>
      <c r="E59" s="643"/>
      <c r="F59" s="645">
        <v>717</v>
      </c>
      <c r="G59" s="538">
        <v>245</v>
      </c>
      <c r="H59" s="647">
        <v>600</v>
      </c>
      <c r="I59" s="648">
        <f t="shared" si="1"/>
        <v>250</v>
      </c>
      <c r="J59" s="649"/>
    </row>
    <row r="60" spans="1:10" hidden="1" x14ac:dyDescent="0.2">
      <c r="A60" s="651" t="s">
        <v>688</v>
      </c>
      <c r="B60" s="642"/>
      <c r="C60" s="642"/>
      <c r="D60" s="643"/>
      <c r="E60" s="643"/>
      <c r="F60" s="645">
        <v>840</v>
      </c>
      <c r="G60" s="538">
        <v>190</v>
      </c>
      <c r="H60" s="647">
        <v>475</v>
      </c>
      <c r="I60" s="648">
        <f t="shared" si="1"/>
        <v>250</v>
      </c>
      <c r="J60" s="649"/>
    </row>
    <row r="61" spans="1:10" hidden="1" x14ac:dyDescent="0.2">
      <c r="A61" s="650" t="s">
        <v>689</v>
      </c>
      <c r="B61" s="642"/>
      <c r="C61" s="642"/>
      <c r="D61" s="643"/>
      <c r="E61" s="643"/>
      <c r="F61" s="645">
        <v>717</v>
      </c>
      <c r="G61" s="538">
        <v>245</v>
      </c>
      <c r="H61" s="647">
        <v>600</v>
      </c>
      <c r="I61" s="648">
        <f t="shared" si="1"/>
        <v>250</v>
      </c>
      <c r="J61" s="649"/>
    </row>
  </sheetData>
  <sheetProtection sheet="1" objects="1" scenarios="1"/>
  <mergeCells count="6">
    <mergeCell ref="A41:J41"/>
    <mergeCell ref="A1:I1"/>
    <mergeCell ref="A2:J2"/>
    <mergeCell ref="A9:A10"/>
    <mergeCell ref="B9:C9"/>
    <mergeCell ref="D9:E9"/>
  </mergeCells>
  <pageMargins left="0.78740157480314965" right="0.39370078740157483" top="0.98425196850393704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Normal="100" workbookViewId="0">
      <selection activeCell="F56" sqref="F56"/>
    </sheetView>
  </sheetViews>
  <sheetFormatPr defaultColWidth="8.85546875" defaultRowHeight="12.75" x14ac:dyDescent="0.2"/>
  <cols>
    <col min="1" max="1" width="7.7109375" customWidth="1"/>
    <col min="2" max="2" width="9.7109375" customWidth="1"/>
    <col min="3" max="3" width="16.42578125" customWidth="1"/>
    <col min="4" max="5" width="15.7109375" customWidth="1"/>
    <col min="6" max="6" width="6" bestFit="1" customWidth="1"/>
    <col min="7" max="7" width="5.7109375" bestFit="1" customWidth="1"/>
    <col min="8" max="8" width="7.140625" customWidth="1"/>
    <col min="9" max="9" width="10.7109375" customWidth="1"/>
    <col min="10" max="10" width="20.42578125" bestFit="1" customWidth="1"/>
    <col min="14" max="15" width="20.28515625" bestFit="1" customWidth="1"/>
  </cols>
  <sheetData>
    <row r="1" spans="1:11" ht="21" thickTop="1" x14ac:dyDescent="0.3">
      <c r="A1" s="719" t="s">
        <v>23</v>
      </c>
      <c r="B1" s="720"/>
      <c r="C1" s="720"/>
      <c r="D1" s="720"/>
      <c r="E1" s="720"/>
      <c r="F1" s="720"/>
      <c r="G1" s="720"/>
      <c r="H1" s="720"/>
      <c r="I1" s="720"/>
      <c r="J1" s="529"/>
      <c r="K1" s="6"/>
    </row>
    <row r="2" spans="1:11" ht="21" thickBot="1" x14ac:dyDescent="0.35">
      <c r="A2" s="725" t="s">
        <v>56</v>
      </c>
      <c r="B2" s="726"/>
      <c r="C2" s="726"/>
      <c r="D2" s="726"/>
      <c r="E2" s="726"/>
      <c r="F2" s="726"/>
      <c r="G2" s="726"/>
      <c r="H2" s="726"/>
      <c r="I2" s="726"/>
      <c r="J2" s="727"/>
      <c r="K2" s="6"/>
    </row>
    <row r="3" spans="1:11" ht="13.5" thickTop="1" x14ac:dyDescent="0.2">
      <c r="A3" s="22"/>
      <c r="B3" s="62"/>
      <c r="C3" s="23"/>
      <c r="D3" s="23"/>
      <c r="E3" s="23"/>
      <c r="F3" s="23"/>
      <c r="G3" s="23"/>
      <c r="H3" s="23"/>
      <c r="I3" s="23"/>
      <c r="J3" s="24"/>
    </row>
    <row r="4" spans="1:11" ht="13.5" thickBot="1" x14ac:dyDescent="0.25">
      <c r="A4" s="26"/>
      <c r="B4" s="10"/>
      <c r="C4" s="21" t="s">
        <v>25</v>
      </c>
      <c r="D4" s="10"/>
      <c r="E4" s="36"/>
      <c r="F4" s="10"/>
      <c r="G4" s="10"/>
      <c r="H4" s="10"/>
      <c r="I4" s="10"/>
      <c r="J4" s="25"/>
    </row>
    <row r="5" spans="1:11" ht="13.5" thickBot="1" x14ac:dyDescent="0.25">
      <c r="A5" s="37" t="s">
        <v>30</v>
      </c>
      <c r="B5" s="27"/>
      <c r="C5" s="536">
        <v>40</v>
      </c>
      <c r="D5" s="28" t="s">
        <v>58</v>
      </c>
      <c r="F5" s="10"/>
      <c r="G5" s="10"/>
      <c r="H5" s="10"/>
      <c r="I5" s="10"/>
      <c r="J5" s="25"/>
    </row>
    <row r="6" spans="1:11" ht="13.5" thickBot="1" x14ac:dyDescent="0.25">
      <c r="A6" s="37" t="s">
        <v>57</v>
      </c>
      <c r="B6" s="27"/>
      <c r="C6" s="536">
        <v>15000</v>
      </c>
      <c r="D6" s="28" t="s">
        <v>59</v>
      </c>
      <c r="F6" s="10"/>
      <c r="G6" s="27"/>
      <c r="H6" s="10"/>
      <c r="I6" s="10"/>
      <c r="J6" s="25"/>
    </row>
    <row r="7" spans="1:11" x14ac:dyDescent="0.2">
      <c r="A7" s="26"/>
      <c r="B7" s="10"/>
      <c r="F7" s="10"/>
      <c r="G7" s="27"/>
      <c r="H7" s="10"/>
      <c r="I7" s="10"/>
      <c r="J7" s="25"/>
    </row>
    <row r="8" spans="1:11" ht="13.5" thickBot="1" x14ac:dyDescent="0.25">
      <c r="A8" s="26"/>
      <c r="B8" s="10"/>
      <c r="C8" s="10"/>
      <c r="D8" s="29"/>
      <c r="E8" s="10"/>
      <c r="F8" s="10"/>
      <c r="G8" s="10"/>
      <c r="H8" s="10"/>
      <c r="I8" s="10"/>
      <c r="J8" s="25"/>
    </row>
    <row r="9" spans="1:11" ht="13.5" thickTop="1" x14ac:dyDescent="0.2">
      <c r="A9" s="736" t="s">
        <v>42</v>
      </c>
      <c r="B9" s="738" t="s">
        <v>60</v>
      </c>
      <c r="C9" s="718" t="s">
        <v>61</v>
      </c>
      <c r="D9" s="718"/>
      <c r="E9" s="546" t="s">
        <v>63</v>
      </c>
      <c r="F9" s="10"/>
      <c r="G9" s="10"/>
      <c r="H9" s="10"/>
      <c r="I9" s="10"/>
      <c r="J9" s="25"/>
    </row>
    <row r="10" spans="1:11" x14ac:dyDescent="0.2">
      <c r="A10" s="737"/>
      <c r="B10" s="739"/>
      <c r="C10" s="503" t="s">
        <v>55</v>
      </c>
      <c r="D10" s="503" t="s">
        <v>62</v>
      </c>
      <c r="E10" s="504" t="s">
        <v>26</v>
      </c>
      <c r="F10" s="10"/>
      <c r="G10" s="10"/>
      <c r="H10" s="10"/>
      <c r="I10" s="10"/>
      <c r="J10" s="25"/>
    </row>
    <row r="11" spans="1:11" x14ac:dyDescent="0.2">
      <c r="A11" s="566" t="s">
        <v>43</v>
      </c>
      <c r="B11" s="588" t="s">
        <v>44</v>
      </c>
      <c r="C11" s="568" t="s">
        <v>31</v>
      </c>
      <c r="D11" s="568" t="s">
        <v>40</v>
      </c>
      <c r="E11" s="46" t="str">
        <f>IF(I38="UDEN FOR OMRÅDET","NOT POSSIBLE",IF(J38="UDEN FOR OMRÅDET","NOT POSSIBLE",(1.86+(($C$5-C38)*E38)+($C$6/D38))))</f>
        <v>NOT POSSIBLE</v>
      </c>
      <c r="F11" s="10"/>
      <c r="G11" s="10"/>
      <c r="H11" s="10"/>
      <c r="I11" s="10"/>
      <c r="J11" s="25"/>
    </row>
    <row r="12" spans="1:11" x14ac:dyDescent="0.2">
      <c r="A12" s="569" t="s">
        <v>43</v>
      </c>
      <c r="B12" s="589" t="s">
        <v>45</v>
      </c>
      <c r="C12" s="279" t="s">
        <v>32</v>
      </c>
      <c r="D12" s="279" t="s">
        <v>41</v>
      </c>
      <c r="E12" s="46" t="str">
        <f>IF(I39="UDEN FOR OMRÅDET","NOT POSSIBLE",IF(J39="UDEN FOR OMRÅDET","NOT POSSIBLE",(1.9+(($C$5-C39)*E39)+($C$6/D39))))</f>
        <v>NOT POSSIBLE</v>
      </c>
      <c r="F12" s="10"/>
      <c r="G12" s="10"/>
      <c r="H12" s="10"/>
      <c r="I12" s="10"/>
      <c r="J12" s="25"/>
    </row>
    <row r="13" spans="1:11" x14ac:dyDescent="0.2">
      <c r="A13" s="566" t="s">
        <v>46</v>
      </c>
      <c r="B13" s="588" t="s">
        <v>47</v>
      </c>
      <c r="C13" s="568" t="s">
        <v>33</v>
      </c>
      <c r="D13" s="568" t="s">
        <v>40</v>
      </c>
      <c r="E13" s="46" t="str">
        <f>IF(I40="UDEN FOR OMRÅDET","NOT POSSIBLE",IF(J40="UDEN FOR OMRÅDET","NOT POSSIBLE",(1.8+(($C$5-C40)*E40)+($C$6/D40))))</f>
        <v>NOT POSSIBLE</v>
      </c>
      <c r="F13" s="10"/>
      <c r="G13" s="10"/>
      <c r="H13" s="10"/>
      <c r="I13" s="10"/>
      <c r="J13" s="25"/>
    </row>
    <row r="14" spans="1:11" x14ac:dyDescent="0.2">
      <c r="A14" s="569" t="s">
        <v>48</v>
      </c>
      <c r="B14" s="589" t="s">
        <v>53</v>
      </c>
      <c r="C14" s="279" t="s">
        <v>34</v>
      </c>
      <c r="D14" s="279" t="s">
        <v>41</v>
      </c>
      <c r="E14" s="46" t="str">
        <f>IF(I41="UDEN FOR OMRÅDET","NOT POSSIBLE",IF(J41="UDEN FOR OMRÅDET","NOT POSSIBLE",(1.8+(($C$5-C41)*E41)+($C$6/D41))))</f>
        <v>NOT POSSIBLE</v>
      </c>
      <c r="F14" s="10"/>
      <c r="G14" s="10"/>
      <c r="H14" s="10"/>
      <c r="I14" s="10"/>
      <c r="J14" s="25"/>
    </row>
    <row r="15" spans="1:11" x14ac:dyDescent="0.2">
      <c r="A15" s="566" t="s">
        <v>49</v>
      </c>
      <c r="B15" s="588" t="s">
        <v>44</v>
      </c>
      <c r="C15" s="568" t="s">
        <v>35</v>
      </c>
      <c r="D15" s="568" t="s">
        <v>40</v>
      </c>
      <c r="E15" s="46" t="str">
        <f>IF(I42="UDEN FOR OMRÅDET","NOT POSSIBLE",IF(J42="UDEN FOR OMRÅDET","NOT POSSIBLE",(1.2+(($C$5-C42)*E42)+($C$6/D42))))</f>
        <v>NOT POSSIBLE</v>
      </c>
      <c r="F15" s="10"/>
      <c r="G15" s="10"/>
      <c r="H15" s="10"/>
      <c r="I15" s="10"/>
      <c r="J15" s="25"/>
    </row>
    <row r="16" spans="1:11" x14ac:dyDescent="0.2">
      <c r="A16" s="569" t="s">
        <v>49</v>
      </c>
      <c r="B16" s="589" t="s">
        <v>45</v>
      </c>
      <c r="C16" s="279" t="s">
        <v>36</v>
      </c>
      <c r="D16" s="279" t="s">
        <v>41</v>
      </c>
      <c r="E16" s="46" t="str">
        <f>IF(I43="UDEN FOR OMRÅDET","NOT POSSIBLE",IF(J43="UDEN FOR OMRÅDET","NOT POSSIBLE",(1.5+(($C$5-C43)*E43)+($C$6/D43))))</f>
        <v>NOT POSSIBLE</v>
      </c>
      <c r="F16" s="10"/>
      <c r="G16" s="10"/>
      <c r="H16" s="10"/>
      <c r="I16" s="10"/>
      <c r="J16" s="25"/>
    </row>
    <row r="17" spans="1:10" x14ac:dyDescent="0.2">
      <c r="A17" s="566" t="s">
        <v>50</v>
      </c>
      <c r="B17" s="588" t="s">
        <v>54</v>
      </c>
      <c r="C17" s="568" t="s">
        <v>37</v>
      </c>
      <c r="D17" s="568" t="s">
        <v>41</v>
      </c>
      <c r="E17" s="46" t="str">
        <f>IF(I44="UDEN FOR OMRÅDET","NOT POSSIBLE",IF(J44="UDEN FOR OMRÅDET","NOT POSSIBLE",(1.2+(($C$5-C44)*E44)+($C$6/D44))))</f>
        <v>NOT POSSIBLE</v>
      </c>
      <c r="F17" s="10"/>
      <c r="G17" s="10"/>
      <c r="H17" s="10"/>
      <c r="I17" s="10"/>
      <c r="J17" s="25"/>
    </row>
    <row r="18" spans="1:10" x14ac:dyDescent="0.2">
      <c r="A18" s="569" t="s">
        <v>51</v>
      </c>
      <c r="B18" s="589" t="s">
        <v>54</v>
      </c>
      <c r="C18" s="279" t="s">
        <v>38</v>
      </c>
      <c r="D18" s="279" t="s">
        <v>41</v>
      </c>
      <c r="E18" s="46" t="str">
        <f>IF(I45="UDEN FOR OMRÅDET","NOT POSSIBLE",IF(J45="UDEN FOR OMRÅDET","NOT POSSIBLE",(0.6+(($C$5-C45)*E45)+($C$6/D45))))</f>
        <v>NOT POSSIBLE</v>
      </c>
      <c r="F18" s="10"/>
      <c r="G18" s="10"/>
      <c r="H18" s="10"/>
      <c r="I18" s="10"/>
      <c r="J18" s="25"/>
    </row>
    <row r="19" spans="1:10" ht="13.5" thickBot="1" x14ac:dyDescent="0.25">
      <c r="A19" s="571" t="s">
        <v>52</v>
      </c>
      <c r="B19" s="590" t="s">
        <v>54</v>
      </c>
      <c r="C19" s="573" t="s">
        <v>39</v>
      </c>
      <c r="D19" s="573" t="s">
        <v>41</v>
      </c>
      <c r="E19" s="47">
        <f>IF(I46="UDEN FOR OMRÅDET","NOT POSSIBLE",IF(J46="UDEN FOR OMRÅDET","NOT POSSIBLE",(-0.4+(($C$5-C46)*E46)+($C$6/D46))))</f>
        <v>13.353151511354175</v>
      </c>
      <c r="F19" s="10"/>
      <c r="G19" s="10"/>
      <c r="H19" s="10"/>
      <c r="I19" s="10"/>
      <c r="J19" s="25"/>
    </row>
    <row r="20" spans="1:10" ht="14.25" thickTop="1" thickBot="1" x14ac:dyDescent="0.25">
      <c r="A20" s="26"/>
      <c r="B20" s="10"/>
      <c r="C20" s="10"/>
      <c r="D20" s="30"/>
      <c r="E20" s="10"/>
      <c r="F20" s="10"/>
      <c r="G20" s="10"/>
      <c r="H20" s="10"/>
      <c r="I20" s="10"/>
      <c r="J20" s="25"/>
    </row>
    <row r="21" spans="1:10" ht="13.5" thickTop="1" x14ac:dyDescent="0.2">
      <c r="A21" s="735" t="s">
        <v>64</v>
      </c>
      <c r="B21" s="714"/>
      <c r="C21" s="714"/>
      <c r="D21" s="715"/>
      <c r="E21" s="36"/>
      <c r="F21" s="10"/>
      <c r="G21" s="10"/>
      <c r="H21" s="10"/>
      <c r="I21" s="10"/>
      <c r="J21" s="25"/>
    </row>
    <row r="22" spans="1:10" x14ac:dyDescent="0.2">
      <c r="A22" s="39" t="s">
        <v>24</v>
      </c>
      <c r="B22" s="63"/>
      <c r="C22" s="40" t="s">
        <v>27</v>
      </c>
      <c r="D22" s="41" t="s">
        <v>29</v>
      </c>
      <c r="F22" s="10"/>
      <c r="G22" s="10"/>
      <c r="H22" s="10"/>
      <c r="I22" s="10"/>
      <c r="J22" s="25"/>
    </row>
    <row r="23" spans="1:10" x14ac:dyDescent="0.2">
      <c r="A23" s="574" t="s">
        <v>12</v>
      </c>
      <c r="B23" s="591"/>
      <c r="C23" s="40" t="str">
        <f t="shared" ref="C23:C31" si="0">IF(E11="NOT POSSIBLE","NOT POSSIBLE",($C$6/(1000*F38))^2*100)</f>
        <v>NOT POSSIBLE</v>
      </c>
      <c r="D23" s="42" t="str">
        <f t="shared" ref="D23:D31" si="1">IF(E11="NOT POSSIBLE","NOT POSSIBLE",($C$5+C23))</f>
        <v>NOT POSSIBLE</v>
      </c>
      <c r="F23" s="10"/>
      <c r="G23" s="10"/>
      <c r="H23" s="10"/>
      <c r="I23" s="10"/>
      <c r="J23" s="25"/>
    </row>
    <row r="24" spans="1:10" x14ac:dyDescent="0.2">
      <c r="A24" s="574" t="s">
        <v>13</v>
      </c>
      <c r="B24" s="591"/>
      <c r="C24" s="40" t="str">
        <f t="shared" si="0"/>
        <v>NOT POSSIBLE</v>
      </c>
      <c r="D24" s="42" t="str">
        <f t="shared" si="1"/>
        <v>NOT POSSIBLE</v>
      </c>
      <c r="F24" s="10"/>
      <c r="G24" s="10"/>
      <c r="H24" s="10"/>
      <c r="I24" s="10"/>
      <c r="J24" s="25"/>
    </row>
    <row r="25" spans="1:10" x14ac:dyDescent="0.2">
      <c r="A25" s="574" t="s">
        <v>21</v>
      </c>
      <c r="B25" s="591"/>
      <c r="C25" s="40" t="str">
        <f t="shared" si="0"/>
        <v>NOT POSSIBLE</v>
      </c>
      <c r="D25" s="42" t="str">
        <f t="shared" si="1"/>
        <v>NOT POSSIBLE</v>
      </c>
      <c r="F25" s="10"/>
      <c r="G25" s="10"/>
      <c r="H25" s="10"/>
      <c r="I25" s="10"/>
      <c r="J25" s="25"/>
    </row>
    <row r="26" spans="1:10" x14ac:dyDescent="0.2">
      <c r="A26" s="574" t="s">
        <v>22</v>
      </c>
      <c r="B26" s="591"/>
      <c r="C26" s="40" t="str">
        <f t="shared" si="0"/>
        <v>NOT POSSIBLE</v>
      </c>
      <c r="D26" s="42" t="str">
        <f t="shared" si="1"/>
        <v>NOT POSSIBLE</v>
      </c>
      <c r="F26" s="10"/>
      <c r="G26" s="10"/>
      <c r="H26" s="10"/>
      <c r="I26" s="10"/>
      <c r="J26" s="25"/>
    </row>
    <row r="27" spans="1:10" x14ac:dyDescent="0.2">
      <c r="A27" s="574" t="s">
        <v>16</v>
      </c>
      <c r="B27" s="591"/>
      <c r="C27" s="40" t="str">
        <f t="shared" si="0"/>
        <v>NOT POSSIBLE</v>
      </c>
      <c r="D27" s="42" t="str">
        <f t="shared" si="1"/>
        <v>NOT POSSIBLE</v>
      </c>
      <c r="F27" s="10"/>
      <c r="G27" s="10"/>
      <c r="H27" s="10"/>
      <c r="I27" s="10"/>
      <c r="J27" s="25"/>
    </row>
    <row r="28" spans="1:10" x14ac:dyDescent="0.2">
      <c r="A28" s="574" t="s">
        <v>17</v>
      </c>
      <c r="B28" s="591"/>
      <c r="C28" s="40" t="str">
        <f t="shared" si="0"/>
        <v>NOT POSSIBLE</v>
      </c>
      <c r="D28" s="42" t="str">
        <f t="shared" si="1"/>
        <v>NOT POSSIBLE</v>
      </c>
      <c r="F28" s="10"/>
      <c r="G28" s="10"/>
      <c r="H28" s="10"/>
      <c r="I28" s="10"/>
      <c r="J28" s="25"/>
    </row>
    <row r="29" spans="1:10" x14ac:dyDescent="0.2">
      <c r="A29" s="574" t="s">
        <v>18</v>
      </c>
      <c r="B29" s="591"/>
      <c r="C29" s="40" t="str">
        <f t="shared" si="0"/>
        <v>NOT POSSIBLE</v>
      </c>
      <c r="D29" s="42" t="str">
        <f t="shared" si="1"/>
        <v>NOT POSSIBLE</v>
      </c>
      <c r="F29" s="10"/>
      <c r="G29" s="10"/>
      <c r="H29" s="10"/>
      <c r="I29" s="10"/>
      <c r="J29" s="25"/>
    </row>
    <row r="30" spans="1:10" x14ac:dyDescent="0.2">
      <c r="A30" s="574" t="s">
        <v>19</v>
      </c>
      <c r="B30" s="591"/>
      <c r="C30" s="40" t="str">
        <f t="shared" si="0"/>
        <v>NOT POSSIBLE</v>
      </c>
      <c r="D30" s="42" t="str">
        <f t="shared" si="1"/>
        <v>NOT POSSIBLE</v>
      </c>
      <c r="F30" s="10"/>
      <c r="G30" s="10"/>
      <c r="H30" s="10"/>
      <c r="I30" s="10"/>
      <c r="J30" s="25"/>
    </row>
    <row r="31" spans="1:10" ht="13.5" thickBot="1" x14ac:dyDescent="0.25">
      <c r="A31" s="576" t="s">
        <v>20</v>
      </c>
      <c r="B31" s="592"/>
      <c r="C31" s="43">
        <f t="shared" si="0"/>
        <v>70.222527386785686</v>
      </c>
      <c r="D31" s="44">
        <f t="shared" si="1"/>
        <v>110.22252738678569</v>
      </c>
      <c r="F31" s="10"/>
      <c r="G31" s="10"/>
      <c r="H31" s="10"/>
      <c r="I31" s="10"/>
      <c r="J31" s="25"/>
    </row>
    <row r="32" spans="1:10" ht="13.5" thickTop="1" x14ac:dyDescent="0.2">
      <c r="A32" s="26"/>
      <c r="B32" s="10"/>
      <c r="C32" s="10"/>
      <c r="D32" s="10"/>
      <c r="E32" s="31"/>
      <c r="F32" s="10"/>
      <c r="G32" s="10"/>
      <c r="H32" s="10"/>
      <c r="I32" s="10"/>
      <c r="J32" s="25"/>
    </row>
    <row r="33" spans="1:15" ht="13.5" thickBot="1" x14ac:dyDescent="0.25">
      <c r="A33" s="32" t="s">
        <v>65</v>
      </c>
      <c r="B33" s="34"/>
      <c r="C33" s="33"/>
      <c r="D33" s="33"/>
      <c r="E33" s="34"/>
      <c r="F33" s="34"/>
      <c r="G33" s="34"/>
      <c r="H33" s="34"/>
      <c r="I33" s="34"/>
      <c r="J33" s="35"/>
    </row>
    <row r="34" spans="1:15" ht="13.5" hidden="1" thickTop="1" x14ac:dyDescent="0.2">
      <c r="A34" s="10"/>
      <c r="B34" s="10"/>
      <c r="C34" s="59"/>
      <c r="D34" s="59"/>
      <c r="E34" s="10"/>
      <c r="F34" s="10"/>
      <c r="G34" s="10"/>
      <c r="H34" s="10"/>
      <c r="I34" s="10"/>
      <c r="J34" s="10"/>
    </row>
    <row r="35" spans="1:15" s="4" customFormat="1" ht="31.5" hidden="1" customHeight="1" x14ac:dyDescent="0.4">
      <c r="A35" s="712" t="s">
        <v>11</v>
      </c>
      <c r="B35" s="712"/>
      <c r="C35" s="713"/>
      <c r="D35" s="713"/>
      <c r="E35" s="713"/>
      <c r="F35" s="713"/>
      <c r="G35" s="713"/>
      <c r="H35" s="713"/>
      <c r="I35" s="713"/>
      <c r="J35" s="713"/>
      <c r="K35" s="7"/>
      <c r="L35" s="5"/>
      <c r="M35" s="5"/>
      <c r="N35" s="5"/>
      <c r="O35" s="5"/>
    </row>
    <row r="36" spans="1:15" ht="13.5" hidden="1" thickBot="1" x14ac:dyDescent="0.25"/>
    <row r="37" spans="1:15" ht="13.5" hidden="1" thickTop="1" x14ac:dyDescent="0.2">
      <c r="A37" s="11" t="s">
        <v>0</v>
      </c>
      <c r="B37" s="64"/>
      <c r="C37" s="12" t="s">
        <v>1</v>
      </c>
      <c r="D37" s="12" t="s">
        <v>2</v>
      </c>
      <c r="E37" s="12" t="s">
        <v>3</v>
      </c>
      <c r="F37" s="12" t="s">
        <v>8</v>
      </c>
      <c r="G37" s="12" t="s">
        <v>4</v>
      </c>
      <c r="H37" s="12" t="s">
        <v>5</v>
      </c>
      <c r="I37" s="13" t="s">
        <v>6</v>
      </c>
      <c r="J37" s="14" t="s">
        <v>7</v>
      </c>
    </row>
    <row r="38" spans="1:15" hidden="1" x14ac:dyDescent="0.2">
      <c r="A38" s="15" t="s">
        <v>12</v>
      </c>
      <c r="B38" s="65"/>
      <c r="C38" s="8">
        <v>5</v>
      </c>
      <c r="D38" s="52">
        <v>494.76</v>
      </c>
      <c r="E38" s="53">
        <v>0.5575</v>
      </c>
      <c r="F38" s="49">
        <v>3.6</v>
      </c>
      <c r="G38" s="45">
        <v>50</v>
      </c>
      <c r="H38" s="1">
        <v>600</v>
      </c>
      <c r="I38" s="2" t="str">
        <f t="shared" ref="I38:I46" si="2">IF($C$6&lt;=G38-1,"UDEN FOR OMRÅDET",IF($C$6&gt;=H38+1,"UDEN FOR OMRÅDET",$C$6))</f>
        <v>UDEN FOR OMRÅDET</v>
      </c>
      <c r="J38" s="16" t="str">
        <f>IF($C$5&lt;=4,"UDEN FOR OMRÅDET",IF($C$5&gt;=31,"UDEN FOR OMRÅDET",$C$5))</f>
        <v>UDEN FOR OMRÅDET</v>
      </c>
    </row>
    <row r="39" spans="1:15" hidden="1" x14ac:dyDescent="0.2">
      <c r="A39" s="15" t="s">
        <v>13</v>
      </c>
      <c r="B39" s="65"/>
      <c r="C39" s="8">
        <v>20</v>
      </c>
      <c r="D39" s="52">
        <v>747.59</v>
      </c>
      <c r="E39" s="54">
        <v>0.31330000000000002</v>
      </c>
      <c r="F39" s="49">
        <v>3.6</v>
      </c>
      <c r="G39" s="45">
        <v>100</v>
      </c>
      <c r="H39" s="1">
        <v>1200</v>
      </c>
      <c r="I39" s="2" t="str">
        <f t="shared" si="2"/>
        <v>UDEN FOR OMRÅDET</v>
      </c>
      <c r="J39" s="16">
        <f>IF($C$5&lt;=19,"UDEN FOR OMRÅDET",IF($C$5&gt;=61,"UDEN FOR OMRÅDET",$C$5))</f>
        <v>40</v>
      </c>
    </row>
    <row r="40" spans="1:15" hidden="1" x14ac:dyDescent="0.2">
      <c r="A40" s="15" t="s">
        <v>14</v>
      </c>
      <c r="B40" s="65"/>
      <c r="C40" s="8">
        <v>5</v>
      </c>
      <c r="D40" s="52">
        <v>682.82</v>
      </c>
      <c r="E40" s="54">
        <v>0.59</v>
      </c>
      <c r="F40" s="49">
        <v>4</v>
      </c>
      <c r="G40" s="45">
        <v>100</v>
      </c>
      <c r="H40" s="1">
        <v>1000</v>
      </c>
      <c r="I40" s="2" t="str">
        <f t="shared" si="2"/>
        <v>UDEN FOR OMRÅDET</v>
      </c>
      <c r="J40" s="16" t="str">
        <f>IF($C$5&lt;=4,"UDEN FOR OMRÅDET",IF($C$5&gt;=31,"UDEN FOR OMRÅDET",$C$5))</f>
        <v>UDEN FOR OMRÅDET</v>
      </c>
    </row>
    <row r="41" spans="1:15" hidden="1" x14ac:dyDescent="0.2">
      <c r="A41" s="15" t="s">
        <v>15</v>
      </c>
      <c r="B41" s="65"/>
      <c r="C41" s="8">
        <v>20</v>
      </c>
      <c r="D41" s="52">
        <v>596.44000000000005</v>
      </c>
      <c r="E41" s="54">
        <v>0.32400000000000001</v>
      </c>
      <c r="F41" s="49">
        <v>4</v>
      </c>
      <c r="G41" s="45">
        <v>150</v>
      </c>
      <c r="H41" s="1">
        <v>2000</v>
      </c>
      <c r="I41" s="2" t="str">
        <f t="shared" si="2"/>
        <v>UDEN FOR OMRÅDET</v>
      </c>
      <c r="J41" s="16">
        <f>IF($C$5&lt;=19,"UDEN FOR OMRÅDET",IF($C$5&gt;=61,"UDEN FOR OMRÅDET",$C$5))</f>
        <v>40</v>
      </c>
    </row>
    <row r="42" spans="1:15" hidden="1" x14ac:dyDescent="0.2">
      <c r="A42" s="15" t="s">
        <v>16</v>
      </c>
      <c r="B42" s="65"/>
      <c r="C42" s="8">
        <v>5</v>
      </c>
      <c r="D42" s="52">
        <v>802.65</v>
      </c>
      <c r="E42" s="54">
        <v>1.26</v>
      </c>
      <c r="F42" s="49">
        <v>9.5</v>
      </c>
      <c r="G42" s="45">
        <v>600</v>
      </c>
      <c r="H42" s="1">
        <v>2500</v>
      </c>
      <c r="I42" s="2" t="str">
        <f t="shared" si="2"/>
        <v>UDEN FOR OMRÅDET</v>
      </c>
      <c r="J42" s="16" t="str">
        <f>IF($C$5&lt;=4,"UDEN FOR OMRÅDET",IF($C$5&gt;=31,"UDEN FOR OMRÅDET",$C$5))</f>
        <v>UDEN FOR OMRÅDET</v>
      </c>
    </row>
    <row r="43" spans="1:15" hidden="1" x14ac:dyDescent="0.2">
      <c r="A43" s="15" t="s">
        <v>17</v>
      </c>
      <c r="B43" s="65"/>
      <c r="C43" s="8">
        <v>20</v>
      </c>
      <c r="D43" s="52">
        <v>1529.6</v>
      </c>
      <c r="E43" s="54">
        <v>0.71750000000000003</v>
      </c>
      <c r="F43" s="49">
        <v>9.5</v>
      </c>
      <c r="G43" s="45">
        <v>700</v>
      </c>
      <c r="H43" s="1">
        <v>4200</v>
      </c>
      <c r="I43" s="2" t="str">
        <f t="shared" si="2"/>
        <v>UDEN FOR OMRÅDET</v>
      </c>
      <c r="J43" s="16">
        <f>IF($C$5&lt;=19,"UDEN FOR OMRÅDET",IF($C$5&gt;=61,"UDEN FOR OMRÅDET",$C$5))</f>
        <v>40</v>
      </c>
    </row>
    <row r="44" spans="1:15" hidden="1" x14ac:dyDescent="0.2">
      <c r="A44" s="15" t="s">
        <v>18</v>
      </c>
      <c r="B44" s="65"/>
      <c r="C44" s="8">
        <v>20</v>
      </c>
      <c r="D44" s="52">
        <v>1338.84</v>
      </c>
      <c r="E44" s="54">
        <v>0.48330000000000001</v>
      </c>
      <c r="F44" s="49">
        <v>11.4</v>
      </c>
      <c r="G44" s="45">
        <v>1000</v>
      </c>
      <c r="H44" s="1">
        <v>5000</v>
      </c>
      <c r="I44" s="2" t="str">
        <f t="shared" si="2"/>
        <v>UDEN FOR OMRÅDET</v>
      </c>
      <c r="J44" s="16">
        <f>IF($C$5&lt;=19,"UDEN FOR OMRÅDET",IF($C$5&gt;=81,"UDEN FOR OMRÅDET",$C$5))</f>
        <v>40</v>
      </c>
    </row>
    <row r="45" spans="1:15" hidden="1" x14ac:dyDescent="0.2">
      <c r="A45" s="15" t="s">
        <v>19</v>
      </c>
      <c r="B45" s="65"/>
      <c r="C45" s="8">
        <v>20</v>
      </c>
      <c r="D45" s="57">
        <v>2213.08</v>
      </c>
      <c r="E45" s="58">
        <v>0.4133</v>
      </c>
      <c r="F45" s="50">
        <v>16.399999999999999</v>
      </c>
      <c r="G45" s="3">
        <v>3000</v>
      </c>
      <c r="H45" s="3">
        <v>8000</v>
      </c>
      <c r="I45" s="2" t="str">
        <f t="shared" si="2"/>
        <v>UDEN FOR OMRÅDET</v>
      </c>
      <c r="J45" s="16">
        <f>IF($C$5&lt;=19,"UDEN FOR OMRÅDET",IF($C$5&gt;=81,"UDEN FOR OMRÅDET",$C$5))</f>
        <v>40</v>
      </c>
    </row>
    <row r="46" spans="1:15" ht="13.5" hidden="1" thickBot="1" x14ac:dyDescent="0.25">
      <c r="A46" s="17" t="s">
        <v>20</v>
      </c>
      <c r="B46" s="66"/>
      <c r="C46" s="48">
        <v>20</v>
      </c>
      <c r="D46" s="55">
        <v>2234.42</v>
      </c>
      <c r="E46" s="56">
        <v>0.35199999999999998</v>
      </c>
      <c r="F46" s="51">
        <v>17.899999999999999</v>
      </c>
      <c r="G46" s="18">
        <v>5000</v>
      </c>
      <c r="H46" s="18">
        <v>15000</v>
      </c>
      <c r="I46" s="19">
        <f t="shared" si="2"/>
        <v>15000</v>
      </c>
      <c r="J46" s="20">
        <f>IF($C$5&lt;=19,"UDEN FOR OMRÅDET",IF($C$5&gt;=81,"UDEN FOR OMRÅDET",$C$5))</f>
        <v>40</v>
      </c>
    </row>
    <row r="47" spans="1:15" ht="13.5" hidden="1" thickTop="1" x14ac:dyDescent="0.2">
      <c r="A47" s="9"/>
      <c r="B47" s="9"/>
      <c r="C47" s="10"/>
      <c r="D47" s="10"/>
      <c r="E47" s="10"/>
      <c r="F47" s="10"/>
      <c r="G47" s="10"/>
      <c r="H47" s="10"/>
      <c r="I47" s="10"/>
      <c r="J47" s="10"/>
    </row>
    <row r="48" spans="1:15" hidden="1" x14ac:dyDescent="0.2"/>
    <row r="49" ht="13.5" thickTop="1" x14ac:dyDescent="0.2"/>
  </sheetData>
  <sheetProtection sheet="1" objects="1" scenarios="1"/>
  <mergeCells count="7">
    <mergeCell ref="A1:I1"/>
    <mergeCell ref="A35:J35"/>
    <mergeCell ref="A21:D21"/>
    <mergeCell ref="A2:J2"/>
    <mergeCell ref="C9:D9"/>
    <mergeCell ref="A9:A10"/>
    <mergeCell ref="B9:B10"/>
  </mergeCells>
  <phoneticPr fontId="0" type="noConversion"/>
  <pageMargins left="1.5748031496062993" right="0.78740157480314965" top="0.98425196850393704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zoomScaleNormal="100" workbookViewId="0">
      <selection activeCell="C56" sqref="C56"/>
    </sheetView>
  </sheetViews>
  <sheetFormatPr defaultColWidth="8.85546875" defaultRowHeight="12.75" x14ac:dyDescent="0.2"/>
  <cols>
    <col min="1" max="1" width="7.7109375" customWidth="1"/>
    <col min="2" max="2" width="9.7109375" customWidth="1"/>
    <col min="3" max="3" width="16.42578125" customWidth="1"/>
    <col min="4" max="5" width="15.7109375" customWidth="1"/>
    <col min="6" max="6" width="6" bestFit="1" customWidth="1"/>
    <col min="7" max="7" width="5.7109375" bestFit="1" customWidth="1"/>
    <col min="8" max="8" width="7.140625" customWidth="1"/>
    <col min="9" max="9" width="10.7109375" customWidth="1"/>
    <col min="10" max="10" width="20.42578125" bestFit="1" customWidth="1"/>
    <col min="14" max="15" width="20.28515625" bestFit="1" customWidth="1"/>
  </cols>
  <sheetData>
    <row r="1" spans="1:11" ht="21" thickTop="1" x14ac:dyDescent="0.3">
      <c r="A1" s="719" t="s">
        <v>588</v>
      </c>
      <c r="B1" s="720"/>
      <c r="C1" s="720"/>
      <c r="D1" s="720"/>
      <c r="E1" s="720"/>
      <c r="F1" s="720"/>
      <c r="G1" s="720"/>
      <c r="H1" s="720"/>
      <c r="I1" s="720"/>
      <c r="J1" s="543"/>
      <c r="K1" s="6"/>
    </row>
    <row r="2" spans="1:11" ht="21" thickBot="1" x14ac:dyDescent="0.35">
      <c r="A2" s="725" t="s">
        <v>589</v>
      </c>
      <c r="B2" s="726"/>
      <c r="C2" s="726"/>
      <c r="D2" s="726"/>
      <c r="E2" s="726"/>
      <c r="F2" s="726"/>
      <c r="G2" s="726"/>
      <c r="H2" s="726"/>
      <c r="I2" s="726"/>
      <c r="J2" s="727"/>
      <c r="K2" s="6"/>
    </row>
    <row r="3" spans="1:11" ht="13.5" thickTop="1" x14ac:dyDescent="0.2">
      <c r="A3" s="22"/>
      <c r="B3" s="62"/>
      <c r="C3" s="23"/>
      <c r="D3" s="23"/>
      <c r="E3" s="23"/>
      <c r="F3" s="23"/>
      <c r="G3" s="23"/>
      <c r="H3" s="23"/>
      <c r="I3" s="23"/>
      <c r="J3" s="24"/>
    </row>
    <row r="4" spans="1:11" ht="13.5" thickBot="1" x14ac:dyDescent="0.25">
      <c r="A4" s="26"/>
      <c r="B4" s="10"/>
      <c r="C4" s="21" t="s">
        <v>25</v>
      </c>
      <c r="D4" s="10"/>
      <c r="E4" s="36"/>
      <c r="F4" s="10"/>
      <c r="G4" s="10"/>
      <c r="H4" s="10"/>
      <c r="I4" s="10"/>
      <c r="J4" s="25"/>
    </row>
    <row r="5" spans="1:11" ht="13.5" thickBot="1" x14ac:dyDescent="0.25">
      <c r="A5" s="37" t="s">
        <v>30</v>
      </c>
      <c r="B5" s="27"/>
      <c r="C5" s="536">
        <v>50</v>
      </c>
      <c r="D5" s="28" t="s">
        <v>58</v>
      </c>
      <c r="F5" s="10"/>
      <c r="G5" s="10"/>
      <c r="H5" s="10"/>
      <c r="I5" s="10"/>
      <c r="J5" s="25"/>
    </row>
    <row r="6" spans="1:11" ht="13.5" thickBot="1" x14ac:dyDescent="0.25">
      <c r="A6" s="37" t="s">
        <v>57</v>
      </c>
      <c r="B6" s="27"/>
      <c r="C6" s="536">
        <v>5000</v>
      </c>
      <c r="D6" s="28" t="s">
        <v>59</v>
      </c>
      <c r="F6" s="10"/>
      <c r="G6" s="27"/>
      <c r="H6" s="10"/>
      <c r="I6" s="10"/>
      <c r="J6" s="25"/>
    </row>
    <row r="7" spans="1:11" x14ac:dyDescent="0.2">
      <c r="A7" s="26"/>
      <c r="B7" s="10"/>
      <c r="F7" s="10"/>
      <c r="G7" s="27"/>
      <c r="H7" s="10"/>
      <c r="I7" s="10"/>
      <c r="J7" s="25"/>
    </row>
    <row r="8" spans="1:11" ht="13.5" thickBot="1" x14ac:dyDescent="0.25">
      <c r="A8" s="26"/>
      <c r="B8" s="10"/>
      <c r="C8" s="10"/>
      <c r="D8" s="29"/>
      <c r="E8" s="10"/>
      <c r="F8" s="10"/>
      <c r="G8" s="10"/>
      <c r="H8" s="10"/>
      <c r="I8" s="10"/>
      <c r="J8" s="25"/>
    </row>
    <row r="9" spans="1:11" ht="13.5" thickTop="1" x14ac:dyDescent="0.2">
      <c r="A9" s="740" t="s">
        <v>42</v>
      </c>
      <c r="B9" s="742" t="s">
        <v>60</v>
      </c>
      <c r="C9" s="718" t="s">
        <v>61</v>
      </c>
      <c r="D9" s="718"/>
      <c r="E9" s="653" t="s">
        <v>63</v>
      </c>
      <c r="F9" s="10"/>
      <c r="G9" s="10"/>
      <c r="H9" s="10"/>
      <c r="I9" s="10"/>
      <c r="J9" s="25"/>
    </row>
    <row r="10" spans="1:11" x14ac:dyDescent="0.2">
      <c r="A10" s="741"/>
      <c r="B10" s="743"/>
      <c r="C10" s="503" t="s">
        <v>55</v>
      </c>
      <c r="D10" s="503" t="s">
        <v>62</v>
      </c>
      <c r="E10" s="504" t="s">
        <v>26</v>
      </c>
      <c r="F10" s="10"/>
      <c r="G10" s="10"/>
      <c r="H10" s="10"/>
      <c r="I10" s="10"/>
      <c r="J10" s="25"/>
    </row>
    <row r="11" spans="1:11" x14ac:dyDescent="0.2">
      <c r="A11" s="566" t="s">
        <v>43</v>
      </c>
      <c r="B11" s="567" t="s">
        <v>44</v>
      </c>
      <c r="C11" s="568" t="s">
        <v>31</v>
      </c>
      <c r="D11" s="568" t="s">
        <v>586</v>
      </c>
      <c r="E11" s="46" t="str">
        <f>IF(I40="UDEN FOR OMRÅDET","NOT POSSIBLE",IF(J40="UDEN FOR OMRÅDET","NOT POSSIBLE",(-0.2+(($C$5-C40)*E40)+($C$6/D40))))</f>
        <v>NOT POSSIBLE</v>
      </c>
      <c r="F11" s="10"/>
      <c r="G11" s="10"/>
      <c r="H11" s="10"/>
      <c r="I11" s="10"/>
      <c r="J11" s="25"/>
    </row>
    <row r="12" spans="1:11" x14ac:dyDescent="0.2">
      <c r="A12" s="569" t="s">
        <v>43</v>
      </c>
      <c r="B12" s="570" t="s">
        <v>45</v>
      </c>
      <c r="C12" s="279" t="s">
        <v>33</v>
      </c>
      <c r="D12" s="279" t="s">
        <v>587</v>
      </c>
      <c r="E12" s="46" t="str">
        <f>IF(I41="UDEN FOR OMRÅDET","NOT POSSIBLE",IF(J41="UDEN FOR OMRÅDET","NOT POSSIBLE",(-0.3+(($C$5-C41)*E41)+($C$6/D41))))</f>
        <v>NOT POSSIBLE</v>
      </c>
      <c r="F12" s="10"/>
      <c r="G12" s="10"/>
      <c r="H12" s="10"/>
      <c r="I12" s="10"/>
      <c r="J12" s="25"/>
    </row>
    <row r="13" spans="1:11" x14ac:dyDescent="0.2">
      <c r="A13" s="566" t="s">
        <v>48</v>
      </c>
      <c r="B13" s="567" t="s">
        <v>44</v>
      </c>
      <c r="C13" s="568" t="s">
        <v>33</v>
      </c>
      <c r="D13" s="568" t="s">
        <v>586</v>
      </c>
      <c r="E13" s="46" t="str">
        <f>IF(I42="UDEN FOR OMRÅDET","NOT POSSIBLE",IF(J42="UDEN FOR OMRÅDET","NOT POSSIBLE",(-0.2+(($C$5-C42)*E42)+($C$6/D42))))</f>
        <v>NOT POSSIBLE</v>
      </c>
      <c r="F13" s="10"/>
      <c r="G13" s="10"/>
      <c r="H13" s="10"/>
      <c r="I13" s="10"/>
      <c r="J13" s="25"/>
    </row>
    <row r="14" spans="1:11" x14ac:dyDescent="0.2">
      <c r="A14" s="569" t="s">
        <v>48</v>
      </c>
      <c r="B14" s="570" t="s">
        <v>45</v>
      </c>
      <c r="C14" s="279" t="s">
        <v>34</v>
      </c>
      <c r="D14" s="279" t="s">
        <v>587</v>
      </c>
      <c r="E14" s="46" t="str">
        <f>IF(I43="UDEN FOR OMRÅDET","NOT POSSIBLE",IF(J43="UDEN FOR OMRÅDET","NOT POSSIBLE",(-0.3+(($C$5-C43)*E43)+($C$6/D43))))</f>
        <v>NOT POSSIBLE</v>
      </c>
      <c r="F14" s="10"/>
      <c r="G14" s="10"/>
      <c r="H14" s="10"/>
      <c r="I14" s="10"/>
      <c r="J14" s="25"/>
    </row>
    <row r="15" spans="1:11" x14ac:dyDescent="0.2">
      <c r="A15" s="566" t="s">
        <v>49</v>
      </c>
      <c r="B15" s="567" t="s">
        <v>44</v>
      </c>
      <c r="C15" s="568" t="s">
        <v>641</v>
      </c>
      <c r="D15" s="568" t="s">
        <v>586</v>
      </c>
      <c r="E15" s="46" t="str">
        <f>IF(I44="UDEN FOR OMRÅDET","NOT POSSIBLE",IF(J44="UDEN FOR OMRÅDET","NOT POSSIBLE",(-1.9+(($C$5-C44)*E44)+($C$6/D44))))</f>
        <v>NOT POSSIBLE</v>
      </c>
      <c r="F15" s="10"/>
      <c r="G15" s="10"/>
      <c r="H15" s="10"/>
      <c r="I15" s="10"/>
      <c r="J15" s="25"/>
    </row>
    <row r="16" spans="1:11" x14ac:dyDescent="0.2">
      <c r="A16" s="569" t="s">
        <v>711</v>
      </c>
      <c r="B16" s="570" t="s">
        <v>54</v>
      </c>
      <c r="C16" s="279" t="s">
        <v>608</v>
      </c>
      <c r="D16" s="279" t="s">
        <v>587</v>
      </c>
      <c r="E16" s="46" t="str">
        <f>IF(I45="UDEN FOR OMRÅDET","NOT POSSIBLE",IF(J45="UDEN FOR OMRÅDET","NOT POSSIBLE",(-0.65+(($C$5-C45)*E45)+($C$6/D45))))</f>
        <v>NOT POSSIBLE</v>
      </c>
      <c r="F16" s="10"/>
      <c r="G16" s="10"/>
      <c r="H16" s="10"/>
      <c r="I16" s="10"/>
      <c r="J16" s="25"/>
    </row>
    <row r="17" spans="1:10" x14ac:dyDescent="0.2">
      <c r="A17" s="566" t="s">
        <v>50</v>
      </c>
      <c r="B17" s="567" t="s">
        <v>54</v>
      </c>
      <c r="C17" s="568" t="s">
        <v>37</v>
      </c>
      <c r="D17" s="568" t="s">
        <v>587</v>
      </c>
      <c r="E17" s="46">
        <f>IF(I46="UDEN FOR OMRÅDET","NOT POSSIBLE",IF(J46="UDEN FOR OMRÅDET","NOT POSSIBLE",(-0.87+(($C$5-C46)*E46)+($C$6/D46))))</f>
        <v>11.543197335553705</v>
      </c>
      <c r="F17" s="10"/>
      <c r="G17" s="10"/>
      <c r="H17" s="10"/>
      <c r="I17" s="10"/>
      <c r="J17" s="25"/>
    </row>
    <row r="18" spans="1:10" x14ac:dyDescent="0.2">
      <c r="A18" s="657" t="s">
        <v>51</v>
      </c>
      <c r="B18" s="658" t="s">
        <v>54</v>
      </c>
      <c r="C18" s="659" t="s">
        <v>38</v>
      </c>
      <c r="D18" s="659" t="s">
        <v>587</v>
      </c>
      <c r="E18" s="46">
        <f>IF(I47="UDEN FOR OMRÅDET","NOT POSSIBLE",IF(J47="UDEN FOR OMRÅDET","NOT POSSIBLE",(-1.27+(($C$5-C47)*E47)+($C$6/D47))))</f>
        <v>9.7738282870178352</v>
      </c>
      <c r="F18" s="10"/>
      <c r="G18" s="10"/>
      <c r="H18" s="10"/>
      <c r="I18" s="10"/>
      <c r="J18" s="25"/>
    </row>
    <row r="19" spans="1:10" ht="13.5" thickBot="1" x14ac:dyDescent="0.25">
      <c r="A19" s="571" t="s">
        <v>52</v>
      </c>
      <c r="B19" s="572" t="s">
        <v>54</v>
      </c>
      <c r="C19" s="573" t="s">
        <v>631</v>
      </c>
      <c r="D19" s="573" t="s">
        <v>587</v>
      </c>
      <c r="E19" s="47">
        <f>IF(I48="UDEN FOR OMRÅDET","NOT POSSIBLE",IF(J48="UDEN FOR OMRÅDET","NOT POSSIBLE",(-3.27+(($C$5-C48)*E48)+($C$6/D48))))</f>
        <v>6.8620620555914673</v>
      </c>
      <c r="F19" s="10"/>
      <c r="G19" s="10"/>
      <c r="H19" s="10"/>
      <c r="I19" s="10"/>
      <c r="J19" s="25"/>
    </row>
    <row r="20" spans="1:10" ht="14.25" thickTop="1" thickBot="1" x14ac:dyDescent="0.25">
      <c r="A20" s="26"/>
      <c r="B20" s="10"/>
      <c r="C20" s="10"/>
      <c r="D20" s="30"/>
      <c r="E20" s="10"/>
      <c r="F20" s="10"/>
      <c r="G20" s="10"/>
      <c r="H20" s="10"/>
      <c r="I20" s="10"/>
      <c r="J20" s="25"/>
    </row>
    <row r="21" spans="1:10" ht="13.5" thickTop="1" x14ac:dyDescent="0.2">
      <c r="A21" s="722" t="s">
        <v>64</v>
      </c>
      <c r="B21" s="718"/>
      <c r="C21" s="718"/>
      <c r="D21" s="724"/>
      <c r="E21" s="36"/>
      <c r="F21" s="10"/>
      <c r="G21" s="10"/>
      <c r="H21" s="10"/>
      <c r="I21" s="10"/>
      <c r="J21" s="25"/>
    </row>
    <row r="22" spans="1:10" x14ac:dyDescent="0.2">
      <c r="A22" s="39" t="s">
        <v>24</v>
      </c>
      <c r="B22" s="565"/>
      <c r="C22" s="40" t="s">
        <v>27</v>
      </c>
      <c r="D22" s="41" t="s">
        <v>29</v>
      </c>
      <c r="F22" s="10"/>
      <c r="G22" s="10"/>
      <c r="H22" s="10"/>
      <c r="I22" s="10"/>
      <c r="J22" s="25"/>
    </row>
    <row r="23" spans="1:10" x14ac:dyDescent="0.2">
      <c r="A23" s="574" t="s">
        <v>12</v>
      </c>
      <c r="B23" s="575"/>
      <c r="C23" s="40" t="str">
        <f t="shared" ref="C23:C28" si="0">IF(E11="NOT POSSIBLE","NOT POSSIBLE",($C$6/(1000*F40))^2*100)</f>
        <v>NOT POSSIBLE</v>
      </c>
      <c r="D23" s="42" t="str">
        <f t="shared" ref="D23:D28" si="1">IF(E11="NOT POSSIBLE","NOT POSSIBLE",($C$5+C23))</f>
        <v>NOT POSSIBLE</v>
      </c>
      <c r="F23" s="10"/>
      <c r="G23" s="10"/>
      <c r="H23" s="10"/>
      <c r="I23" s="10"/>
      <c r="J23" s="25"/>
    </row>
    <row r="24" spans="1:10" x14ac:dyDescent="0.2">
      <c r="A24" s="574" t="s">
        <v>13</v>
      </c>
      <c r="B24" s="575"/>
      <c r="C24" s="40" t="str">
        <f t="shared" si="0"/>
        <v>NOT POSSIBLE</v>
      </c>
      <c r="D24" s="42" t="str">
        <f t="shared" si="1"/>
        <v>NOT POSSIBLE</v>
      </c>
      <c r="F24" s="10"/>
      <c r="G24" s="10"/>
      <c r="H24" s="10"/>
      <c r="I24" s="10"/>
      <c r="J24" s="25"/>
    </row>
    <row r="25" spans="1:10" x14ac:dyDescent="0.2">
      <c r="A25" s="574" t="s">
        <v>14</v>
      </c>
      <c r="B25" s="575"/>
      <c r="C25" s="40" t="str">
        <f t="shared" si="0"/>
        <v>NOT POSSIBLE</v>
      </c>
      <c r="D25" s="42" t="str">
        <f t="shared" si="1"/>
        <v>NOT POSSIBLE</v>
      </c>
      <c r="F25" s="10"/>
      <c r="G25" s="10"/>
      <c r="H25" s="10"/>
      <c r="I25" s="10"/>
      <c r="J25" s="25"/>
    </row>
    <row r="26" spans="1:10" x14ac:dyDescent="0.2">
      <c r="A26" s="574" t="s">
        <v>15</v>
      </c>
      <c r="B26" s="575"/>
      <c r="C26" s="40" t="str">
        <f t="shared" si="0"/>
        <v>NOT POSSIBLE</v>
      </c>
      <c r="D26" s="42" t="str">
        <f t="shared" si="1"/>
        <v>NOT POSSIBLE</v>
      </c>
      <c r="F26" s="10"/>
      <c r="G26" s="10"/>
      <c r="H26" s="10"/>
      <c r="I26" s="10"/>
      <c r="J26" s="25"/>
    </row>
    <row r="27" spans="1:10" x14ac:dyDescent="0.2">
      <c r="A27" s="574" t="s">
        <v>16</v>
      </c>
      <c r="B27" s="575"/>
      <c r="C27" s="40" t="str">
        <f t="shared" si="0"/>
        <v>NOT POSSIBLE</v>
      </c>
      <c r="D27" s="42" t="str">
        <f t="shared" si="1"/>
        <v>NOT POSSIBLE</v>
      </c>
      <c r="F27" s="10"/>
      <c r="G27" s="10"/>
      <c r="H27" s="10"/>
      <c r="I27" s="10"/>
      <c r="J27" s="25"/>
    </row>
    <row r="28" spans="1:10" x14ac:dyDescent="0.2">
      <c r="A28" s="574" t="s">
        <v>607</v>
      </c>
      <c r="B28" s="575"/>
      <c r="C28" s="40" t="str">
        <f t="shared" si="0"/>
        <v>NOT POSSIBLE</v>
      </c>
      <c r="D28" s="42" t="str">
        <f t="shared" si="1"/>
        <v>NOT POSSIBLE</v>
      </c>
      <c r="F28" s="10"/>
      <c r="G28" s="10"/>
      <c r="H28" s="10"/>
      <c r="I28" s="10"/>
      <c r="J28" s="25"/>
    </row>
    <row r="29" spans="1:10" x14ac:dyDescent="0.2">
      <c r="A29" s="574" t="s">
        <v>18</v>
      </c>
      <c r="B29" s="575"/>
      <c r="C29" s="40">
        <f t="shared" ref="C29" si="2">IF(E17="NOT POSSIBLE","NOT POSSIBLE",($C$6/(1000*F46))^2*100)</f>
        <v>24.50740123517302</v>
      </c>
      <c r="D29" s="42">
        <f t="shared" ref="D29" si="3">IF(E17="NOT POSSIBLE","NOT POSSIBLE",($C$5+C29))</f>
        <v>74.50740123517302</v>
      </c>
      <c r="F29" s="10"/>
      <c r="G29" s="10"/>
      <c r="H29" s="10"/>
      <c r="I29" s="10"/>
      <c r="J29" s="25"/>
    </row>
    <row r="30" spans="1:10" x14ac:dyDescent="0.2">
      <c r="A30" s="574" t="s">
        <v>19</v>
      </c>
      <c r="B30" s="575"/>
      <c r="C30" s="40">
        <f>IF(E18="NOT POSSIBLE","NOT POSSIBLE",($C$6/(1000*F47))^2*100)</f>
        <v>10.014420765902901</v>
      </c>
      <c r="D30" s="42">
        <f>IF(E18="NOT POSSIBLE","NOT POSSIBLE",($C$5+C30))</f>
        <v>60.014420765902898</v>
      </c>
      <c r="F30" s="10"/>
      <c r="G30" s="10"/>
      <c r="H30" s="10"/>
      <c r="I30" s="10"/>
      <c r="J30" s="25"/>
    </row>
    <row r="31" spans="1:10" ht="13.5" thickBot="1" x14ac:dyDescent="0.25">
      <c r="A31" s="576" t="s">
        <v>20</v>
      </c>
      <c r="B31" s="577"/>
      <c r="C31" s="43">
        <f>IF(E19="NOT POSSIBLE","NOT POSSIBLE",($C$6/(1000*F48))^2*100)</f>
        <v>9.5259868922420345</v>
      </c>
      <c r="D31" s="44">
        <f>IF(E19="NOT POSSIBLE","NOT POSSIBLE",($C$5+C31))</f>
        <v>59.525986892242031</v>
      </c>
      <c r="F31" s="10"/>
      <c r="G31" s="10"/>
      <c r="H31" s="10"/>
      <c r="I31" s="10"/>
      <c r="J31" s="25"/>
    </row>
    <row r="32" spans="1:10" ht="13.5" thickTop="1" x14ac:dyDescent="0.2">
      <c r="A32" s="541"/>
      <c r="B32" s="542"/>
      <c r="F32" s="10"/>
      <c r="G32" s="10"/>
      <c r="H32" s="10"/>
      <c r="I32" s="10"/>
      <c r="J32" s="25"/>
    </row>
    <row r="33" spans="1:15" x14ac:dyDescent="0.2">
      <c r="A33" s="541"/>
      <c r="B33" s="542"/>
      <c r="F33" s="10"/>
      <c r="G33" s="10"/>
      <c r="H33" s="10"/>
      <c r="I33" s="10"/>
      <c r="J33" s="25"/>
    </row>
    <row r="34" spans="1:15" x14ac:dyDescent="0.2">
      <c r="A34" s="26"/>
      <c r="B34" s="10"/>
      <c r="C34" s="10"/>
      <c r="D34" s="10"/>
      <c r="E34" s="31"/>
      <c r="F34" s="10"/>
      <c r="G34" s="10"/>
      <c r="H34" s="10"/>
      <c r="I34" s="10"/>
      <c r="J34" s="25"/>
    </row>
    <row r="35" spans="1:15" ht="13.5" thickBot="1" x14ac:dyDescent="0.25">
      <c r="A35" s="32" t="s">
        <v>65</v>
      </c>
      <c r="B35" s="34"/>
      <c r="C35" s="33"/>
      <c r="D35" s="33"/>
      <c r="E35" s="34"/>
      <c r="F35" s="34"/>
      <c r="G35" s="34"/>
      <c r="H35" s="34"/>
      <c r="I35" s="34"/>
      <c r="J35" s="35"/>
    </row>
    <row r="36" spans="1:15" ht="13.5" thickTop="1" x14ac:dyDescent="0.2">
      <c r="A36" s="10"/>
      <c r="B36" s="10"/>
      <c r="C36" s="59"/>
      <c r="D36" s="59"/>
      <c r="E36" s="10"/>
      <c r="F36" s="10"/>
      <c r="G36" s="10"/>
      <c r="H36" s="10"/>
      <c r="I36" s="10"/>
      <c r="J36" s="10"/>
    </row>
    <row r="37" spans="1:15" s="4" customFormat="1" ht="31.5" hidden="1" customHeight="1" x14ac:dyDescent="0.4">
      <c r="A37" s="712" t="s">
        <v>11</v>
      </c>
      <c r="B37" s="712"/>
      <c r="C37" s="713"/>
      <c r="D37" s="713"/>
      <c r="E37" s="713"/>
      <c r="F37" s="713"/>
      <c r="G37" s="713"/>
      <c r="H37" s="713"/>
      <c r="I37" s="713"/>
      <c r="J37" s="713"/>
      <c r="K37" s="7"/>
      <c r="L37" s="5"/>
      <c r="M37" s="5"/>
      <c r="N37" s="5"/>
      <c r="O37" s="5"/>
    </row>
    <row r="38" spans="1:15" ht="13.5" hidden="1" thickBot="1" x14ac:dyDescent="0.25"/>
    <row r="39" spans="1:15" ht="13.5" hidden="1" thickTop="1" x14ac:dyDescent="0.2">
      <c r="A39" s="11" t="s">
        <v>0</v>
      </c>
      <c r="B39" s="64"/>
      <c r="C39" s="12" t="s">
        <v>1</v>
      </c>
      <c r="D39" s="12" t="s">
        <v>2</v>
      </c>
      <c r="E39" s="12" t="s">
        <v>3</v>
      </c>
      <c r="F39" s="12" t="s">
        <v>8</v>
      </c>
      <c r="G39" s="12" t="s">
        <v>4</v>
      </c>
      <c r="H39" s="12" t="s">
        <v>5</v>
      </c>
      <c r="I39" s="13" t="s">
        <v>6</v>
      </c>
      <c r="J39" s="14" t="s">
        <v>7</v>
      </c>
    </row>
    <row r="40" spans="1:15" hidden="1" x14ac:dyDescent="0.2">
      <c r="A40" s="15" t="s">
        <v>12</v>
      </c>
      <c r="B40" s="65"/>
      <c r="C40" s="8">
        <v>5</v>
      </c>
      <c r="D40" s="52">
        <v>272</v>
      </c>
      <c r="E40" s="539">
        <v>0.68</v>
      </c>
      <c r="F40" s="49">
        <v>2.9</v>
      </c>
      <c r="G40" s="45">
        <v>50</v>
      </c>
      <c r="H40" s="1">
        <v>600</v>
      </c>
      <c r="I40" s="2" t="str">
        <f>IF($C$6&lt;=G40-1,"UDEN FOR OMRÅDET",IF($C$6&gt;=H40+1,"UDEN FOR OMRÅDET",$C$6))</f>
        <v>UDEN FOR OMRÅDET</v>
      </c>
      <c r="J40" s="16" t="str">
        <f>IF($C$5&lt;5,"UDEN FOR OMRÅDET",IF($C$5&gt;30,"UDEN FOR OMRÅDET",$C$5))</f>
        <v>UDEN FOR OMRÅDET</v>
      </c>
    </row>
    <row r="41" spans="1:15" hidden="1" x14ac:dyDescent="0.2">
      <c r="A41" s="15" t="s">
        <v>13</v>
      </c>
      <c r="B41" s="65"/>
      <c r="C41" s="8">
        <v>20</v>
      </c>
      <c r="D41" s="52">
        <v>312.5</v>
      </c>
      <c r="E41" s="540">
        <v>0.40150000000000002</v>
      </c>
      <c r="F41" s="49">
        <v>2.9</v>
      </c>
      <c r="G41" s="45">
        <v>100</v>
      </c>
      <c r="H41" s="1">
        <v>1000</v>
      </c>
      <c r="I41" s="2" t="str">
        <f>IF($C$6&lt;=G41-1,"UDEN FOR OMRÅDET",IF($C$6&gt;=H41+1,"UDEN FOR OMRÅDET",$C$6))</f>
        <v>UDEN FOR OMRÅDET</v>
      </c>
      <c r="J41" s="16">
        <f>IF($C$5&lt;20,"UDEN FOR OMRÅDET",IF($C$5&gt;60,"UDEN FOR OMRÅDET",$C$5))</f>
        <v>50</v>
      </c>
    </row>
    <row r="42" spans="1:15" hidden="1" x14ac:dyDescent="0.2">
      <c r="A42" s="556" t="s">
        <v>14</v>
      </c>
      <c r="B42" s="65"/>
      <c r="C42" s="8">
        <v>5</v>
      </c>
      <c r="D42" s="52">
        <v>272</v>
      </c>
      <c r="E42" s="539">
        <v>0.68</v>
      </c>
      <c r="F42" s="49">
        <v>3.5</v>
      </c>
      <c r="G42" s="45">
        <v>100</v>
      </c>
      <c r="H42" s="1">
        <v>1000</v>
      </c>
      <c r="I42" s="2" t="str">
        <f t="shared" ref="I42:I48" si="4">IF($C$6&lt;=G42-1,"UDEN FOR OMRÅDET",IF($C$6&gt;=H42+1,"UDEN FOR OMRÅDET",$C$6))</f>
        <v>UDEN FOR OMRÅDET</v>
      </c>
      <c r="J42" s="16" t="str">
        <f>IF($C$5&lt;5,"UDEN FOR OMRÅDET",IF($C$5&gt;30,"UDEN FOR OMRÅDET",$C$5))</f>
        <v>UDEN FOR OMRÅDET</v>
      </c>
    </row>
    <row r="43" spans="1:15" hidden="1" x14ac:dyDescent="0.2">
      <c r="A43" s="556" t="s">
        <v>15</v>
      </c>
      <c r="B43" s="65"/>
      <c r="C43" s="8">
        <v>20</v>
      </c>
      <c r="D43" s="52">
        <v>313</v>
      </c>
      <c r="E43" s="540">
        <v>0.40200000000000002</v>
      </c>
      <c r="F43" s="49">
        <v>3.5</v>
      </c>
      <c r="G43" s="45">
        <v>150</v>
      </c>
      <c r="H43" s="1">
        <v>2000</v>
      </c>
      <c r="I43" s="2" t="str">
        <f t="shared" si="4"/>
        <v>UDEN FOR OMRÅDET</v>
      </c>
      <c r="J43" s="16">
        <f>IF($C$5&lt;20,"UDEN FOR OMRÅDET",IF($C$5&gt;60,"UDEN FOR OMRÅDET",$C$5))</f>
        <v>50</v>
      </c>
    </row>
    <row r="44" spans="1:15" hidden="1" x14ac:dyDescent="0.2">
      <c r="A44" s="556" t="s">
        <v>16</v>
      </c>
      <c r="B44" s="65"/>
      <c r="C44" s="8">
        <v>5</v>
      </c>
      <c r="D44" s="52">
        <v>322</v>
      </c>
      <c r="E44" s="539">
        <v>0.61199999999999999</v>
      </c>
      <c r="F44" s="49">
        <v>4</v>
      </c>
      <c r="G44" s="45">
        <v>600</v>
      </c>
      <c r="H44" s="1">
        <v>2100</v>
      </c>
      <c r="I44" s="2" t="str">
        <f t="shared" si="4"/>
        <v>UDEN FOR OMRÅDET</v>
      </c>
      <c r="J44" s="16" t="str">
        <f>IF($C$5&lt;5,"UDEN FOR OMRÅDET",IF($C$5&gt;30,"UDEN FOR OMRÅDET",$C$5))</f>
        <v>UDEN FOR OMRÅDET</v>
      </c>
    </row>
    <row r="45" spans="1:15" hidden="1" x14ac:dyDescent="0.2">
      <c r="A45" s="556" t="s">
        <v>607</v>
      </c>
      <c r="B45" s="65"/>
      <c r="C45" s="8">
        <v>20</v>
      </c>
      <c r="D45" s="52">
        <v>1180</v>
      </c>
      <c r="E45" s="540">
        <v>0.28499999999999998</v>
      </c>
      <c r="F45" s="49">
        <v>8.6999999999999993</v>
      </c>
      <c r="G45" s="45">
        <v>750</v>
      </c>
      <c r="H45" s="1">
        <v>4200</v>
      </c>
      <c r="I45" s="2" t="str">
        <f t="shared" si="4"/>
        <v>UDEN FOR OMRÅDET</v>
      </c>
      <c r="J45" s="16">
        <f>IF($C$5&lt;20,"UDEN FOR OMRÅDET",IF($C$5&gt;80,"UDEN FOR OMRÅDET",$C$5))</f>
        <v>50</v>
      </c>
    </row>
    <row r="46" spans="1:15" hidden="1" x14ac:dyDescent="0.2">
      <c r="A46" s="556" t="s">
        <v>18</v>
      </c>
      <c r="B46" s="65"/>
      <c r="C46" s="8">
        <v>20</v>
      </c>
      <c r="D46" s="52">
        <v>1201</v>
      </c>
      <c r="E46" s="539">
        <v>0.27500000000000002</v>
      </c>
      <c r="F46" s="49">
        <v>10.1</v>
      </c>
      <c r="G46" s="45">
        <v>1000</v>
      </c>
      <c r="H46" s="1">
        <v>5000</v>
      </c>
      <c r="I46" s="2">
        <f t="shared" si="4"/>
        <v>5000</v>
      </c>
      <c r="J46" s="16">
        <f>IF($C$5&lt;20,"UDEN FOR OMRÅDET",IF($C$5&gt;80,"UDEN FOR OMRÅDET",$C$5))</f>
        <v>50</v>
      </c>
    </row>
    <row r="47" spans="1:15" hidden="1" x14ac:dyDescent="0.2">
      <c r="A47" s="556" t="s">
        <v>19</v>
      </c>
      <c r="B47" s="65"/>
      <c r="C47" s="81">
        <v>20</v>
      </c>
      <c r="D47" s="52">
        <v>2411</v>
      </c>
      <c r="E47" s="539">
        <v>0.29899999999999999</v>
      </c>
      <c r="F47" s="49">
        <v>15.8</v>
      </c>
      <c r="G47" s="656">
        <v>3000</v>
      </c>
      <c r="H47" s="1">
        <v>8000</v>
      </c>
      <c r="I47" s="654">
        <f t="shared" si="4"/>
        <v>5000</v>
      </c>
      <c r="J47" s="16">
        <f>IF($C$5&lt;20,"UDEN FOR OMRÅDET",IF($C$5&gt;80,"UDEN FOR OMRÅDET",$C$5))</f>
        <v>50</v>
      </c>
    </row>
    <row r="48" spans="1:15" hidden="1" x14ac:dyDescent="0.2">
      <c r="A48" s="556" t="s">
        <v>20</v>
      </c>
      <c r="B48" s="65"/>
      <c r="C48" s="81">
        <v>20</v>
      </c>
      <c r="D48" s="52">
        <v>1547</v>
      </c>
      <c r="E48" s="539">
        <v>0.23</v>
      </c>
      <c r="F48" s="49">
        <v>16.2</v>
      </c>
      <c r="G48" s="656">
        <v>5000</v>
      </c>
      <c r="H48" s="1">
        <v>11500</v>
      </c>
      <c r="I48" s="654">
        <f t="shared" si="4"/>
        <v>5000</v>
      </c>
      <c r="J48" s="16">
        <f>IF($C$5&lt;20,"UDEN FOR OMRÅDET",IF($C$5&gt;80,"UDEN FOR OMRÅDET",$C$5))</f>
        <v>50</v>
      </c>
    </row>
  </sheetData>
  <sheetProtection sheet="1" objects="1" scenarios="1"/>
  <mergeCells count="7">
    <mergeCell ref="A37:J37"/>
    <mergeCell ref="A1:I1"/>
    <mergeCell ref="A2:J2"/>
    <mergeCell ref="A9:A10"/>
    <mergeCell ref="B9:B10"/>
    <mergeCell ref="C9:D9"/>
    <mergeCell ref="A21:D21"/>
  </mergeCells>
  <pageMargins left="1.5748031496062993" right="0.78740157480314965" top="0.98425196850393704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showGridLines="0" zoomScaleNormal="100" workbookViewId="0">
      <selection activeCell="Y27" sqref="Y27"/>
    </sheetView>
  </sheetViews>
  <sheetFormatPr defaultColWidth="8.85546875" defaultRowHeight="12.75" x14ac:dyDescent="0.2"/>
  <cols>
    <col min="1" max="2" width="16.28515625" customWidth="1"/>
    <col min="3" max="3" width="15.7109375" customWidth="1"/>
    <col min="4" max="4" width="16.7109375" customWidth="1"/>
    <col min="5" max="6" width="16.7109375" hidden="1" customWidth="1"/>
    <col min="7" max="7" width="20.7109375" customWidth="1"/>
    <col min="8" max="10" width="15.7109375" customWidth="1"/>
    <col min="11" max="11" width="9.140625" hidden="1" customWidth="1"/>
    <col min="12" max="12" width="14.42578125" hidden="1" customWidth="1"/>
    <col min="13" max="13" width="16" hidden="1" customWidth="1"/>
    <col min="14" max="15" width="20.28515625" hidden="1" customWidth="1"/>
    <col min="16" max="21" width="9.140625" hidden="1" customWidth="1"/>
  </cols>
  <sheetData>
    <row r="1" spans="1:20" ht="21" thickTop="1" x14ac:dyDescent="0.3">
      <c r="A1" s="719" t="s">
        <v>168</v>
      </c>
      <c r="B1" s="720"/>
      <c r="C1" s="720"/>
      <c r="D1" s="720"/>
      <c r="E1" s="720"/>
      <c r="F1" s="720"/>
      <c r="G1" s="720"/>
      <c r="H1" s="720"/>
      <c r="I1" s="720"/>
      <c r="J1" s="721"/>
      <c r="K1" s="6"/>
      <c r="L1" s="719" t="s">
        <v>66</v>
      </c>
      <c r="M1" s="720"/>
      <c r="N1" s="720"/>
      <c r="O1" s="720"/>
      <c r="P1" s="720"/>
      <c r="Q1" s="720"/>
      <c r="R1" s="720"/>
      <c r="S1" s="720"/>
      <c r="T1" s="721"/>
    </row>
    <row r="2" spans="1:20" ht="21" thickBot="1" x14ac:dyDescent="0.35">
      <c r="A2" s="725" t="s">
        <v>167</v>
      </c>
      <c r="B2" s="726"/>
      <c r="C2" s="726"/>
      <c r="D2" s="726"/>
      <c r="E2" s="726"/>
      <c r="F2" s="726"/>
      <c r="G2" s="726"/>
      <c r="H2" s="726"/>
      <c r="I2" s="726"/>
      <c r="J2" s="727"/>
      <c r="K2" s="6"/>
      <c r="L2" s="725" t="s">
        <v>119</v>
      </c>
      <c r="M2" s="726"/>
      <c r="N2" s="726"/>
      <c r="O2" s="726"/>
      <c r="P2" s="726"/>
      <c r="Q2" s="726"/>
      <c r="R2" s="726"/>
      <c r="S2" s="726"/>
      <c r="T2" s="727"/>
    </row>
    <row r="3" spans="1:20" ht="13.5" thickTop="1" x14ac:dyDescent="0.2">
      <c r="A3" s="22"/>
      <c r="B3" s="23"/>
      <c r="C3" s="23"/>
      <c r="D3" s="23"/>
      <c r="E3" s="23"/>
      <c r="F3" s="23"/>
      <c r="G3" s="23"/>
      <c r="H3" s="23"/>
      <c r="I3" s="23"/>
      <c r="J3" s="24"/>
      <c r="L3" s="22"/>
      <c r="M3" s="23"/>
      <c r="N3" s="23"/>
      <c r="O3" s="23"/>
      <c r="P3" s="23"/>
      <c r="Q3" s="23"/>
      <c r="R3" s="23"/>
      <c r="S3" s="23"/>
      <c r="T3" s="24"/>
    </row>
    <row r="4" spans="1:20" ht="13.5" thickBot="1" x14ac:dyDescent="0.25">
      <c r="A4" s="26"/>
      <c r="B4" s="21" t="s">
        <v>25</v>
      </c>
      <c r="C4" s="10"/>
      <c r="D4" s="36"/>
      <c r="E4" s="10"/>
      <c r="F4" s="10"/>
      <c r="G4" s="10"/>
      <c r="H4" s="10"/>
      <c r="I4" s="10"/>
      <c r="J4" s="25"/>
      <c r="L4" s="26"/>
      <c r="M4" s="21" t="s">
        <v>10</v>
      </c>
      <c r="N4" s="10"/>
      <c r="O4" s="36"/>
      <c r="P4" s="10"/>
      <c r="Q4" s="10"/>
      <c r="R4" s="10"/>
      <c r="S4" s="10"/>
      <c r="T4" s="25"/>
    </row>
    <row r="5" spans="1:20" ht="13.5" thickBot="1" x14ac:dyDescent="0.25">
      <c r="A5" s="37" t="s">
        <v>30</v>
      </c>
      <c r="B5" s="536">
        <v>10</v>
      </c>
      <c r="C5" s="28" t="s">
        <v>154</v>
      </c>
      <c r="E5" s="10"/>
      <c r="F5" s="10"/>
      <c r="G5" s="10"/>
      <c r="H5" s="10"/>
      <c r="I5" s="10"/>
      <c r="J5" s="25"/>
      <c r="L5" s="37" t="s">
        <v>68</v>
      </c>
      <c r="M5" s="38">
        <v>20</v>
      </c>
      <c r="N5" s="28" t="s">
        <v>69</v>
      </c>
      <c r="P5" s="10"/>
      <c r="Q5" s="10"/>
      <c r="R5" s="10"/>
      <c r="S5" s="10"/>
      <c r="T5" s="25"/>
    </row>
    <row r="6" spans="1:20" ht="13.5" thickBot="1" x14ac:dyDescent="0.25">
      <c r="A6" s="37" t="s">
        <v>120</v>
      </c>
      <c r="B6" s="536">
        <v>1200</v>
      </c>
      <c r="C6" s="28" t="s">
        <v>121</v>
      </c>
      <c r="E6" s="10"/>
      <c r="F6" s="27"/>
      <c r="G6" s="10"/>
      <c r="H6" s="10"/>
      <c r="I6" s="10"/>
      <c r="J6" s="25"/>
      <c r="L6" s="37" t="s">
        <v>9</v>
      </c>
      <c r="M6" s="38">
        <v>25</v>
      </c>
      <c r="N6" s="28" t="s">
        <v>122</v>
      </c>
      <c r="O6" s="67" t="s">
        <v>123</v>
      </c>
      <c r="P6" s="10"/>
      <c r="Q6" s="27"/>
      <c r="R6" s="10"/>
      <c r="S6" s="10"/>
      <c r="T6" s="25"/>
    </row>
    <row r="7" spans="1:20" ht="13.5" thickBot="1" x14ac:dyDescent="0.25">
      <c r="A7" s="26"/>
      <c r="E7" s="10"/>
      <c r="F7" s="27"/>
      <c r="G7" s="10"/>
      <c r="H7" s="10"/>
      <c r="I7" s="10"/>
      <c r="J7" s="25"/>
      <c r="L7" s="26"/>
      <c r="P7" s="10"/>
      <c r="Q7" s="27"/>
      <c r="R7" s="10"/>
      <c r="S7" s="10"/>
      <c r="T7" s="25"/>
    </row>
    <row r="8" spans="1:20" ht="14.25" thickTop="1" thickBot="1" x14ac:dyDescent="0.25">
      <c r="A8" s="758" t="s">
        <v>155</v>
      </c>
      <c r="B8" s="759"/>
      <c r="C8" s="760" t="s">
        <v>156</v>
      </c>
      <c r="D8" s="761"/>
      <c r="E8" s="95"/>
      <c r="F8" s="129"/>
      <c r="G8" s="130" t="s">
        <v>140</v>
      </c>
      <c r="H8" s="21"/>
      <c r="I8" s="10"/>
      <c r="J8" s="25"/>
      <c r="L8" s="26"/>
      <c r="M8" s="10"/>
      <c r="N8" s="29"/>
      <c r="O8" s="10"/>
      <c r="P8" s="10"/>
      <c r="Q8" s="10"/>
      <c r="R8" s="10"/>
      <c r="S8" s="10"/>
      <c r="T8" s="25"/>
    </row>
    <row r="9" spans="1:20" ht="13.5" thickTop="1" x14ac:dyDescent="0.2">
      <c r="A9" s="747" t="s">
        <v>124</v>
      </c>
      <c r="B9" s="748"/>
      <c r="C9" s="744" t="s">
        <v>125</v>
      </c>
      <c r="D9" s="745"/>
      <c r="E9" s="745"/>
      <c r="F9" s="746"/>
      <c r="G9" s="131" t="s">
        <v>126</v>
      </c>
      <c r="H9" s="75"/>
      <c r="I9" s="10"/>
      <c r="J9" s="25"/>
      <c r="P9" s="10"/>
      <c r="Q9" s="10"/>
      <c r="R9" s="10"/>
      <c r="S9" s="10"/>
      <c r="T9" s="25"/>
    </row>
    <row r="10" spans="1:20" x14ac:dyDescent="0.2">
      <c r="A10" s="96" t="s">
        <v>24</v>
      </c>
      <c r="B10" s="535" t="s">
        <v>26</v>
      </c>
      <c r="C10" s="132" t="s">
        <v>24</v>
      </c>
      <c r="D10" s="97" t="s">
        <v>63</v>
      </c>
      <c r="E10" s="97" t="s">
        <v>73</v>
      </c>
      <c r="F10" s="133" t="s">
        <v>74</v>
      </c>
      <c r="G10" s="134" t="s">
        <v>29</v>
      </c>
      <c r="H10" s="75"/>
      <c r="I10" s="10"/>
      <c r="J10" s="25"/>
      <c r="P10" s="10"/>
      <c r="Q10" s="10"/>
      <c r="R10" s="10"/>
      <c r="S10" s="10"/>
      <c r="T10" s="25"/>
    </row>
    <row r="11" spans="1:20" x14ac:dyDescent="0.2">
      <c r="A11" s="96" t="s">
        <v>12</v>
      </c>
      <c r="B11" s="71" t="str">
        <f>IF(I48="UDEN FOR OMRÅDET","NOT POSSIBLE",IF(J48="UDEN FOR OMRÅDET","NOT POSSIBLE",(1.86+(($B$5-B48)*D48)+($B$6/C48))))</f>
        <v>NOT POSSIBLE</v>
      </c>
      <c r="C11" s="135" t="s">
        <v>75</v>
      </c>
      <c r="D11" s="40" t="str">
        <f>IF(S48="UDEN FOR OMRÅDET","NOT POSSIBLE",IF(T48="UDEN FOR OMRÅDET","NOT POSSIBLE",(-1.416859E-16*B6^6+0.0000000000004973587*B6^5-0.0000000006302845*B6^4+0.0000003677696*B6^3-0.0001030106*B6^2+0.02421216*B6+0.4984559)))</f>
        <v>NOT POSSIBLE</v>
      </c>
      <c r="E11" s="40" t="e">
        <f>-0.0001914848*D11^5+0.0053285439*D11^4-0.054883786*D11^3+0.2534175671*D11^2-0.2481945056*D11+0.1333828468</f>
        <v>#VALUE!</v>
      </c>
      <c r="F11" s="136" t="str">
        <f>IF(S48="UDEN FOR OMRÅDET","NICHT MÖGLICH",IF(B6&lt;50,8,(((($B$6/1000)/E11)^2)*100)))</f>
        <v>NICHT MÖGLICH</v>
      </c>
      <c r="G11" s="137" t="str">
        <f>IF(B11="NOT POSSIBLE","NOT POSSIBLE",IF(D11="NOT POSSIBLE","NOT POSSIBLE",($B$5+F21+F11)))</f>
        <v>NOT POSSIBLE</v>
      </c>
      <c r="H11" s="76"/>
      <c r="I11" s="10"/>
      <c r="J11" s="25"/>
      <c r="P11" s="10"/>
      <c r="Q11" s="10"/>
      <c r="R11" s="10"/>
      <c r="S11" s="10"/>
      <c r="T11" s="25"/>
    </row>
    <row r="12" spans="1:20" x14ac:dyDescent="0.2">
      <c r="A12" s="96" t="s">
        <v>13</v>
      </c>
      <c r="B12" s="71" t="str">
        <f>IF(I49="UDEN FOR OMRÅDET","NOT POSSIBLE",IF(J49="UDEN FOR OMRÅDET","NOT POSSIBLE",(1.9+(($B$5-B49)*D49)+($B$6/C49))))</f>
        <v>NOT POSSIBLE</v>
      </c>
      <c r="C12" s="135" t="s">
        <v>78</v>
      </c>
      <c r="D12" s="40" t="str">
        <f>IF(S49="UDEN FOR OMRÅDET","NOT POSSIBLE",IF(T49="UDEN FOR OMRÅDET","NOT POSSIBLE",(-8.370525E-18*B6^6+4.595217E-14*B6^5-0.00000000008196175*B6^4+0.00000006465865*B6^3-0.00002581107*B6^2+0.01404484*B6+0.4946178)))</f>
        <v>NOT POSSIBLE</v>
      </c>
      <c r="E12" s="40" t="e">
        <f>-0.0001313737*D12^5+0.0033025825*D12^4-0.030488192*D12^3+0.130530682*D12^2-0.0056293818*D12+0.0026799239</f>
        <v>#VALUE!</v>
      </c>
      <c r="F12" s="136" t="str">
        <f>IF(S49="UDEN FOR OMRÅDET","NICHT MÖGLICH",IF(B6&lt;55,16,(((($B$6/1000)/E12)^2)*100)))</f>
        <v>NICHT MÖGLICH</v>
      </c>
      <c r="G12" s="137" t="str">
        <f>IF(B12="NOT POSSIBLE","NOT POSSIBLE",IF(D12="NOT POSSIBLE","NOT POSSIBLE",($B$5+F22+F12)))</f>
        <v>NOT POSSIBLE</v>
      </c>
      <c r="H12" s="76"/>
      <c r="I12" s="10"/>
      <c r="J12" s="25"/>
      <c r="P12" s="10"/>
      <c r="Q12" s="10"/>
      <c r="R12" s="10"/>
      <c r="S12" s="10"/>
      <c r="T12" s="25"/>
    </row>
    <row r="13" spans="1:20" x14ac:dyDescent="0.2">
      <c r="A13" s="96" t="s">
        <v>21</v>
      </c>
      <c r="B13" s="71" t="str">
        <f>IF(I50="UDEN FOR OMRÅDET","NOT POSSIBLE",IF(J50="UDEN FOR OMRÅDET","NOT POSSIBLE",(1.8+(($B$5-B50)*D50)+($B$6/C50))))</f>
        <v>NOT POSSIBLE</v>
      </c>
      <c r="C13" s="135" t="s">
        <v>81</v>
      </c>
      <c r="D13" s="40">
        <f>IF(S50="UDEN FOR OMRÅDET","NOT POSSIBLE",IF(T50="UDEN FOR OMRÅDET","NOT POSSIBLE",(1.282055E-17*B6^6-3.215346E-14*B6^5+0.00000000001758545*B6^4+0.00000001342106*B6^3-0.00001618215*B6^2+0.01146886*B6+0.6190952)))</f>
        <v>9.0100715840000039</v>
      </c>
      <c r="E13" s="40">
        <f>-0.0002922512*D13^5+0.0079441211*D13^4-0.081093891*D13^3+0.3716534766*D13^2-0.315676037*D13+0.1555909698</f>
        <v>3.1676981043788439</v>
      </c>
      <c r="F13" s="136">
        <f>IF(S50="UDEN FOR OMRÅDET","NICHT MÖGLICH",IF(B6&lt;65,9,(((($B$6/1000)/E13)^2)*100)))</f>
        <v>14.350760702436096</v>
      </c>
      <c r="G13" s="137" t="str">
        <f>IF(B13="NOT POSSIBLE","NOT POSSIBLE",IF(D13="NOT POSSIBLE","NOT POSSIBLE",($B$5+F22+F13)))</f>
        <v>NOT POSSIBLE</v>
      </c>
      <c r="H13" s="76"/>
      <c r="I13" s="10"/>
      <c r="J13" s="25"/>
      <c r="P13" s="10"/>
      <c r="Q13" s="10"/>
      <c r="R13" s="10"/>
      <c r="S13" s="10"/>
      <c r="T13" s="25"/>
    </row>
    <row r="14" spans="1:20" x14ac:dyDescent="0.2">
      <c r="A14" s="96" t="s">
        <v>22</v>
      </c>
      <c r="B14" s="71" t="str">
        <f>IF(I51="UDEN FOR OMRÅDET","NOT POSSIBLE",IF(J51="UDEN FOR OMRÅDET","NOT POSSIBLE",(1.8+(($B$5-B51)*D51)+($B$6/C51))))</f>
        <v>NOT POSSIBLE</v>
      </c>
      <c r="C14" s="135" t="s">
        <v>84</v>
      </c>
      <c r="D14" s="40">
        <f>IF(S51="UDEN FOR OMRÅDET","NOT POSSIBLE",IF(T51="UDEN FOR OMRÅDET","NOT POSSIBLE",(4.558531E-19*B6^6-2.754187E-16*B6^5-0.000000000004851288*B6^4+0.00000001154931*B6^3-0.0000104237*B6^2+0.008926086*B6+0.5092975)))</f>
        <v>6.783889786566399</v>
      </c>
      <c r="E14" s="40">
        <f>-0.0002702024*D14^5+0.0070152744*D14^4-0.0684282308*D14^3+0.303994227*D14^2-0.158105984*D14+0.1037020483</f>
        <v>2.6335665035817084</v>
      </c>
      <c r="F14" s="136">
        <f>IF(S51="UDEN FOR OMRÅDET","NICHT MÖGLICH",IF(B6&lt;88,12,(((($B$6/1000)/E14)^2)*100)))</f>
        <v>20.762225927234258</v>
      </c>
      <c r="G14" s="137" t="str">
        <f>IF(B14="NOT POSSIBLE","NOT POSSIBLE",IF(D14="NOT POSSIBLE","NOT POSSIBLE",($B$5+F24+F14)))</f>
        <v>NOT POSSIBLE</v>
      </c>
      <c r="H14" s="76"/>
      <c r="I14" s="10"/>
      <c r="J14" s="25"/>
      <c r="P14" s="10"/>
      <c r="Q14" s="10"/>
      <c r="R14" s="10"/>
      <c r="S14" s="10"/>
      <c r="T14" s="25"/>
    </row>
    <row r="15" spans="1:20" x14ac:dyDescent="0.2">
      <c r="A15" s="96" t="s">
        <v>16</v>
      </c>
      <c r="B15" s="71">
        <f>IF(I52="UDEN FOR OMRÅDET","NOT POSSIBLE",IF(J52="UDEN FOR OMRÅDET","NOT POSSIBLE",(1.2+(($B$5-B52)*D52)+($B$6/C52))))</f>
        <v>8.9950476546439919</v>
      </c>
      <c r="C15" s="135" t="s">
        <v>87</v>
      </c>
      <c r="D15" s="40">
        <f>IF(S52="UDEN FOR OMRÅDET","NOT POSSIBLE",IF(T52="UDEN FOR OMRÅDET","NOT POSSIBLE",(5.301715E-18*B6^6-2.338106E-14*B6^5+0.00000000003790071*B6^4-0.00000002608803*B6^3+0.00000547309*B6^2+0.005587611*B6+0.6916941)))</f>
        <v>6.4401502593600091</v>
      </c>
      <c r="E15" s="40">
        <f>-0.0001250173*D15^5+0.0038019997*D15^4-0.0461407467*D15^3+0.2422158614*D15^2+0.0516844959*D15-0.0473246139</f>
        <v>3.1622448508485328</v>
      </c>
      <c r="F15" s="136">
        <f>IF(S52="UDEN FOR OMRÅDET","NICHT MÖGLICH",IF(B6&lt;72,9,(((($B$6/1000)/E15)^2)*100)))</f>
        <v>14.400298810926419</v>
      </c>
      <c r="G15" s="137">
        <f>IF(B15="NOT POSSIBLE","NOT POSSIBLE",IF(D15="NOT POSSIBLE","NOT POSSIBLE",($B$5+F23+F15)))</f>
        <v>25.995866677962432</v>
      </c>
      <c r="H15" s="76"/>
      <c r="I15" s="10"/>
      <c r="J15" s="25"/>
      <c r="P15" s="10"/>
      <c r="Q15" s="10"/>
      <c r="R15" s="10"/>
      <c r="S15" s="10"/>
      <c r="T15" s="25"/>
    </row>
    <row r="16" spans="1:20" x14ac:dyDescent="0.2">
      <c r="A16" s="96" t="s">
        <v>17</v>
      </c>
      <c r="B16" s="71" t="str">
        <f>IF(I53="UDEN FOR OMRÅDET","NOT POSSIBLE",IF(J53="UDEN FOR OMRÅDET","NOT POSSIBLE",(1.5+(($B$5-B53)*D53)+($B$6/C53))))</f>
        <v>NOT POSSIBLE</v>
      </c>
      <c r="C16" s="135" t="s">
        <v>89</v>
      </c>
      <c r="D16" s="40">
        <f>IF(S53="UDEN FOR OMRÅDET","NOT POSSIBLE",IF(T53="UDEN FOR OMRÅDET","NOT POSSIBLE",(5.707474E-19*B6^6-3.439083E-15*B6^5+0.000000000007387863*B6^4-0.000000006100564*B6^3+0.0000003601231*B6^2+0.004834756*B6+0.6250701)))</f>
        <v>4.8697562826815997</v>
      </c>
      <c r="E16" s="40">
        <f>-0.0001720525*D16^5+0.0050695668*D16^4-0.0602406174*D16^3+0.3152398884*D16^2-0.0451710556*D16+0.0404546674</f>
        <v>2.7192475236579186</v>
      </c>
      <c r="F16" s="136">
        <f>IF(S53="UDEN FOR OMRÅDET","NICHT MÖGLICH",IF(B6&lt;120,12,(((($B$6/1000)/E16)^2)*100)))</f>
        <v>19.474441371110427</v>
      </c>
      <c r="G16" s="137" t="str">
        <f>IF(B16="NOT POSSIBLE","NOT POSSIBLE",IF(D16="NOT POSSIBLE","NOT POSSIBLE",($B$5+F26+F16)))</f>
        <v>NOT POSSIBLE</v>
      </c>
      <c r="H16" s="98"/>
      <c r="I16" s="10"/>
      <c r="J16" s="25"/>
      <c r="P16" s="10"/>
      <c r="Q16" s="10"/>
      <c r="R16" s="10"/>
      <c r="S16" s="10"/>
      <c r="T16" s="25"/>
    </row>
    <row r="17" spans="1:20" x14ac:dyDescent="0.2">
      <c r="A17" s="96" t="s">
        <v>18</v>
      </c>
      <c r="B17" s="71" t="str">
        <f>IF(I54="UDEN FOR OMRÅDET","NOT POSSIBLE",IF(J54="UDEN FOR OMRÅDET","NOT POSSIBLE",(1.2+(($B$5-B54)*D54)+($B$6/C54))))</f>
        <v>NOT POSSIBLE</v>
      </c>
      <c r="C17" s="135" t="s">
        <v>141</v>
      </c>
      <c r="D17" s="40">
        <f>IF(S54="UDEN FOR OMRÅDET","NOT POSSIBLE",IF(T54="UDEN FOR OMRÅDET","NOT POSSIBLE",(9.688725E-21*B6^6-1.260236E-16*B6^5+0.0000000000006151922*B6^4-0.000000001374114*B6^3+0.000001309833*B6^2+0.001458119*B6+0.6703696)))</f>
        <v>2.9228088073984004</v>
      </c>
      <c r="E17" s="40">
        <f xml:space="preserve"> -0.0002207819*D17^5+0.0048575488*D17^4-0.042801013*D17^3+0.1612668541*D17^2+0.9429656517*D17-0.4890993807</f>
        <v>2.8833906658725916</v>
      </c>
      <c r="F17" s="136">
        <f>IF(S54="UDEN FOR OMRÅDET","NICHT MÖGLICH",IF(B6&lt;300,14,(((($B$6/1000)/E17)^2)*100)))</f>
        <v>17.320304212024592</v>
      </c>
      <c r="G17" s="137" t="str">
        <f>IF(B17="NOT POSSIBLE","NOT POSSIBLE",IF(D17="NOT POSSIBLE","NOT POSSIBLE",($B$5+F24+F17)))</f>
        <v>NOT POSSIBLE</v>
      </c>
      <c r="H17" s="76"/>
      <c r="I17" s="10"/>
      <c r="J17" s="25"/>
      <c r="P17" s="10"/>
      <c r="Q17" s="10"/>
      <c r="R17" s="10"/>
      <c r="S17" s="10"/>
      <c r="T17" s="25"/>
    </row>
    <row r="18" spans="1:20" x14ac:dyDescent="0.2">
      <c r="A18" s="96" t="s">
        <v>19</v>
      </c>
      <c r="B18" s="71" t="str">
        <f>IF(I55="UDEN FOR OMRÅDET","NOT POSSIBLE",IF(J55="UDEN FOR OMRÅDET","NOT POSSIBLE",(0.6+(($B$5-B55)*D55)+($B$6/C55))))</f>
        <v>NOT POSSIBLE</v>
      </c>
      <c r="C18" s="135" t="s">
        <v>142</v>
      </c>
      <c r="D18" s="40">
        <f>IF(S55="UDEN FOR OMRÅDET","NOT POSSIBLE",IF(T55="UDEN FOR OMRÅDET","NOT POSSIBLE",(2.890134E-22*B6^6-4.367951E-18*B6^5+1.580866E-14*B6^4+0.0000000000465504*B6^3-0.0000003855707*B6^2+0.001792376*B6+0.7499365)))</f>
        <v>2.4487799501318657</v>
      </c>
      <c r="E18" s="40">
        <f>-0.0012675993*D18^5+0.0341544632*D18^4-0.344969967*D18^3+1.5414329114*D18^2-1.1127621642*D18+0.3349824205</f>
        <v>2.9042338152531664</v>
      </c>
      <c r="F18" s="136">
        <f>IF(S55="UDEN FOR OMRÅDET","NICHT MÖGLICH",IF(B6&lt;275,15,(((($B$6/1000)/E18)^2)*100)))</f>
        <v>17.072587078361707</v>
      </c>
      <c r="G18" s="137" t="str">
        <f>IF(B18="NOT POSSIBLE","NOT POSSIBLE",IF(D18="NOT POSSIBLE","NOT POSSIBLE",($B$5+F25+F18)))</f>
        <v>NOT POSSIBLE</v>
      </c>
      <c r="H18" s="76"/>
      <c r="I18" s="10"/>
      <c r="J18" s="25"/>
      <c r="P18" s="10"/>
      <c r="Q18" s="10"/>
      <c r="R18" s="10"/>
      <c r="S18" s="10"/>
      <c r="T18" s="25"/>
    </row>
    <row r="19" spans="1:20" ht="13.5" thickBot="1" x14ac:dyDescent="0.25">
      <c r="A19" s="99" t="s">
        <v>20</v>
      </c>
      <c r="B19" s="138" t="str">
        <f>IF(I56="UDEN FOR OMRÅDET","NOT POSSIBLE",IF(J56="UDEN FOR OMRÅDET","NOT POSSIBLE",(-0.4+(($B$5-B56)*D56)+($B$6/C56))))</f>
        <v>NOT POSSIBLE</v>
      </c>
      <c r="C19" s="139" t="s">
        <v>143</v>
      </c>
      <c r="D19" s="43">
        <f>IF(S56="UDEN FOR OMRÅDET","NOT POSSIBLE",IF(T56="UDEN FOR OMRÅDET","NOT POSSIBLE",(9.139688E-23*B6^6-2.57758E-18*B6^5+2.726717E-14*B6^4-0.0000000001313964*B6^3+0.0000002746298*B6^2+0.0006078528*B6+0.721324)))</f>
        <v>1.66956156226773</v>
      </c>
      <c r="E19" s="43">
        <f>-0.000196373*D19^5+0.0050851175*D19^4-0.0540651414*D19^3+0.1694730368*D19^2+2.4082032907*D19-1.4693911114</f>
        <v>2.8090025831667411</v>
      </c>
      <c r="F19" s="140">
        <f>IF(S56="UDEN FOR OMRÅDET","NICHT MÖGLICH",IF(B6&lt;670,17,(((($B$6/1000)/E19)^2)*100)))</f>
        <v>18.249804435813871</v>
      </c>
      <c r="G19" s="141" t="str">
        <f>IF(B19="NOT POSSIBLE","NOT POSSIBLE",IF(D19="NOT POSSIBLE","NOT POSSIBLE",($B$5+F26+F19)))</f>
        <v>NOT POSSIBLE</v>
      </c>
      <c r="H19" s="76"/>
      <c r="I19" s="10"/>
      <c r="J19" s="25"/>
      <c r="P19" s="10"/>
      <c r="Q19" s="10"/>
      <c r="R19" s="10"/>
      <c r="S19" s="10"/>
      <c r="T19" s="25"/>
    </row>
    <row r="20" spans="1:20" ht="13.5" thickTop="1" x14ac:dyDescent="0.2">
      <c r="A20" s="26"/>
      <c r="B20" s="10"/>
      <c r="C20" s="30"/>
      <c r="D20" s="10"/>
      <c r="E20" s="10"/>
      <c r="F20" s="40" t="s">
        <v>27</v>
      </c>
      <c r="G20" s="10"/>
      <c r="H20" s="10"/>
      <c r="I20" s="10"/>
      <c r="J20" s="25"/>
      <c r="L20" s="26"/>
      <c r="M20" s="10"/>
      <c r="N20" s="30"/>
      <c r="O20" s="10"/>
      <c r="P20" s="10"/>
      <c r="Q20" s="10"/>
      <c r="R20" s="10"/>
      <c r="S20" s="10"/>
      <c r="T20" s="25"/>
    </row>
    <row r="21" spans="1:20" x14ac:dyDescent="0.2">
      <c r="A21" s="753"/>
      <c r="B21" s="754"/>
      <c r="C21" s="36"/>
      <c r="D21" s="36"/>
      <c r="E21" s="10"/>
      <c r="F21" s="40" t="str">
        <f>IF(B11="NOT POSSIBLE","NOT POSSIBLE",($B$6/(1000*E48))^2*100)</f>
        <v>NOT POSSIBLE</v>
      </c>
      <c r="G21" s="10"/>
      <c r="H21" s="10"/>
      <c r="I21" s="10"/>
      <c r="J21" s="25"/>
      <c r="L21" s="26"/>
      <c r="M21" s="10"/>
      <c r="N21" s="36"/>
      <c r="O21" s="36"/>
      <c r="P21" s="10"/>
      <c r="Q21" s="10"/>
      <c r="R21" s="10"/>
      <c r="S21" s="10"/>
      <c r="T21" s="25"/>
    </row>
    <row r="22" spans="1:20" x14ac:dyDescent="0.2">
      <c r="A22" s="100"/>
      <c r="B22" s="10"/>
      <c r="E22" s="10"/>
      <c r="F22" s="40" t="str">
        <f>IF(B13="NOT POSSIBLE","NOT POSSIBLE",($B$6/(1000*E50))^2*100)</f>
        <v>NOT POSSIBLE</v>
      </c>
      <c r="G22" s="10"/>
      <c r="H22" s="10"/>
      <c r="I22" s="10"/>
      <c r="J22" s="25"/>
      <c r="L22" s="26"/>
      <c r="M22" s="10"/>
      <c r="N22" s="75"/>
      <c r="P22" s="10"/>
      <c r="Q22" s="10"/>
      <c r="R22" s="10"/>
      <c r="S22" s="10"/>
      <c r="T22" s="25"/>
    </row>
    <row r="23" spans="1:20" x14ac:dyDescent="0.2">
      <c r="A23" s="101"/>
      <c r="B23" s="10"/>
      <c r="E23" s="10"/>
      <c r="F23" s="40">
        <f>IF(B15="NOT POSSIBLE","NOT POSSIBLE",($B$6/(1000*E52))^2*100)</f>
        <v>1.5955678670360112</v>
      </c>
      <c r="G23" s="10"/>
      <c r="H23" s="10"/>
      <c r="I23" s="10"/>
      <c r="J23" s="25"/>
      <c r="L23" s="26"/>
      <c r="M23" s="10"/>
      <c r="N23" s="76"/>
      <c r="P23" s="10"/>
      <c r="Q23" s="10"/>
      <c r="R23" s="10"/>
      <c r="S23" s="10"/>
      <c r="T23" s="25"/>
    </row>
    <row r="24" spans="1:20" x14ac:dyDescent="0.2">
      <c r="A24" s="101"/>
      <c r="B24" s="10"/>
      <c r="E24" s="10"/>
      <c r="F24" s="40" t="str">
        <f>IF(B17="NOT POSSIBLE","NOT POSSIBLE",($B$6/(1000*E54))^2*100)</f>
        <v>NOT POSSIBLE</v>
      </c>
      <c r="G24" s="10"/>
      <c r="H24" s="10"/>
      <c r="I24" s="10"/>
      <c r="J24" s="25"/>
      <c r="L24" s="26"/>
      <c r="M24" s="10"/>
      <c r="N24" s="76"/>
      <c r="P24" s="10"/>
      <c r="Q24" s="10"/>
      <c r="R24" s="10"/>
      <c r="S24" s="10"/>
      <c r="T24" s="25"/>
    </row>
    <row r="25" spans="1:20" x14ac:dyDescent="0.2">
      <c r="A25" s="101"/>
      <c r="B25" s="10"/>
      <c r="E25" s="10"/>
      <c r="F25" s="40" t="str">
        <f>IF(B18="NOT POSSIBLE","NOT POSSIBLE",($B$6/(1000*E55))^2*100)</f>
        <v>NOT POSSIBLE</v>
      </c>
      <c r="G25" s="10"/>
      <c r="H25" s="10"/>
      <c r="I25" s="10"/>
      <c r="J25" s="25"/>
      <c r="L25" s="26"/>
      <c r="M25" s="10"/>
      <c r="N25" s="76"/>
      <c r="P25" s="10"/>
      <c r="Q25" s="10"/>
      <c r="R25" s="10"/>
      <c r="S25" s="10"/>
      <c r="T25" s="25"/>
    </row>
    <row r="26" spans="1:20" x14ac:dyDescent="0.2">
      <c r="A26" s="101"/>
      <c r="B26" s="10"/>
      <c r="E26" s="10"/>
      <c r="F26" s="40" t="str">
        <f>IF(B19="NOT POSSIBLE","NOT POSSIBLE",($B$6/(1000*E56))^2*100)</f>
        <v>NOT POSSIBLE</v>
      </c>
      <c r="G26" s="10"/>
      <c r="H26" s="10"/>
      <c r="I26" s="10"/>
      <c r="J26" s="25"/>
      <c r="L26" s="26"/>
      <c r="M26" s="10"/>
      <c r="N26" s="76"/>
      <c r="P26" s="10"/>
      <c r="Q26" s="10"/>
      <c r="R26" s="10"/>
      <c r="S26" s="10"/>
      <c r="T26" s="25"/>
    </row>
    <row r="27" spans="1:20" x14ac:dyDescent="0.2">
      <c r="A27" s="101"/>
      <c r="B27" s="10"/>
      <c r="E27" s="10"/>
      <c r="F27" s="40"/>
      <c r="G27" s="10"/>
      <c r="H27" s="10"/>
      <c r="I27" s="10"/>
      <c r="J27" s="25"/>
      <c r="L27" s="26"/>
      <c r="M27" s="10"/>
      <c r="N27" s="76"/>
      <c r="P27" s="10"/>
      <c r="Q27" s="10"/>
      <c r="R27" s="10"/>
      <c r="S27" s="10"/>
      <c r="T27" s="25"/>
    </row>
    <row r="28" spans="1:20" x14ac:dyDescent="0.2">
      <c r="A28" s="101"/>
      <c r="B28" s="10"/>
      <c r="E28" s="10"/>
      <c r="F28" s="40"/>
      <c r="G28" s="10"/>
      <c r="H28" s="10"/>
      <c r="I28" s="10"/>
      <c r="J28" s="25"/>
      <c r="L28" s="26"/>
      <c r="M28" s="10"/>
      <c r="N28" s="76"/>
      <c r="P28" s="10"/>
      <c r="Q28" s="10"/>
      <c r="R28" s="10"/>
      <c r="S28" s="10"/>
      <c r="T28" s="25"/>
    </row>
    <row r="29" spans="1:20" x14ac:dyDescent="0.2">
      <c r="A29" s="101"/>
      <c r="B29" s="10"/>
      <c r="D29">
        <v>2</v>
      </c>
      <c r="E29" s="10"/>
      <c r="F29" s="40"/>
      <c r="G29" s="10"/>
      <c r="H29" s="10"/>
      <c r="I29" s="10"/>
      <c r="J29" s="25"/>
      <c r="L29" s="26"/>
      <c r="M29" s="10"/>
      <c r="N29" s="76"/>
      <c r="P29" s="10"/>
      <c r="Q29" s="10"/>
      <c r="R29" s="10"/>
      <c r="S29" s="10"/>
      <c r="T29" s="25"/>
    </row>
    <row r="30" spans="1:20" x14ac:dyDescent="0.2">
      <c r="A30" s="101"/>
      <c r="B30" s="10"/>
      <c r="E30" s="10"/>
      <c r="F30" s="40"/>
      <c r="G30" s="10"/>
      <c r="H30" s="10"/>
      <c r="I30" s="10"/>
      <c r="J30" s="25"/>
      <c r="L30" s="26"/>
      <c r="M30" s="10"/>
      <c r="N30" s="76"/>
      <c r="P30" s="10"/>
      <c r="Q30" s="10"/>
      <c r="R30" s="10"/>
      <c r="S30" s="10"/>
      <c r="T30" s="25"/>
    </row>
    <row r="31" spans="1:20" ht="13.5" thickBot="1" x14ac:dyDescent="0.25">
      <c r="A31" s="32"/>
      <c r="B31" s="10"/>
      <c r="E31" s="10"/>
      <c r="F31" s="40"/>
      <c r="G31" s="10"/>
      <c r="H31" s="10"/>
      <c r="I31" s="10"/>
      <c r="J31" s="25"/>
      <c r="L31" s="26"/>
      <c r="M31" s="10"/>
      <c r="N31" s="76"/>
      <c r="P31" s="10"/>
      <c r="Q31" s="10"/>
      <c r="R31" s="10"/>
      <c r="S31" s="10"/>
      <c r="T31" s="25"/>
    </row>
    <row r="32" spans="1:20" ht="13.5" thickTop="1" x14ac:dyDescent="0.2">
      <c r="A32" s="756" t="s">
        <v>157</v>
      </c>
      <c r="B32" s="748" t="s">
        <v>127</v>
      </c>
      <c r="C32" s="749"/>
      <c r="D32" s="755" t="s">
        <v>128</v>
      </c>
      <c r="E32" s="755"/>
      <c r="F32" s="755"/>
      <c r="G32" s="755"/>
      <c r="H32" s="750" t="s">
        <v>129</v>
      </c>
      <c r="I32" s="751"/>
      <c r="J32" s="752"/>
      <c r="L32" s="26"/>
      <c r="M32" s="10"/>
      <c r="N32" s="76"/>
      <c r="P32" s="10"/>
      <c r="Q32" s="10"/>
      <c r="R32" s="10"/>
      <c r="S32" s="10"/>
      <c r="T32" s="25"/>
    </row>
    <row r="33" spans="1:20" ht="12.75" customHeight="1" x14ac:dyDescent="0.2">
      <c r="A33" s="757"/>
      <c r="B33" s="142" t="s">
        <v>130</v>
      </c>
      <c r="C33" s="143" t="s">
        <v>131</v>
      </c>
      <c r="D33" s="144" t="s">
        <v>130</v>
      </c>
      <c r="E33" s="97"/>
      <c r="F33" s="102"/>
      <c r="G33" s="145" t="s">
        <v>131</v>
      </c>
      <c r="H33" s="146" t="s">
        <v>132</v>
      </c>
      <c r="I33" s="103" t="s">
        <v>130</v>
      </c>
      <c r="J33" s="41" t="s">
        <v>131</v>
      </c>
      <c r="L33" s="26"/>
      <c r="M33" s="10"/>
      <c r="N33" s="76"/>
      <c r="P33" s="10"/>
      <c r="Q33" s="10"/>
      <c r="R33" s="10"/>
      <c r="S33" s="10"/>
      <c r="T33" s="25"/>
    </row>
    <row r="34" spans="1:20" x14ac:dyDescent="0.2">
      <c r="A34" s="104" t="s">
        <v>144</v>
      </c>
      <c r="B34" s="142" t="s">
        <v>31</v>
      </c>
      <c r="C34" s="147" t="s">
        <v>40</v>
      </c>
      <c r="D34" s="144" t="s">
        <v>76</v>
      </c>
      <c r="E34" s="95"/>
      <c r="F34" s="95"/>
      <c r="G34" s="148" t="s">
        <v>77</v>
      </c>
      <c r="H34" s="149" t="s">
        <v>133</v>
      </c>
      <c r="I34" s="103" t="s">
        <v>31</v>
      </c>
      <c r="J34" s="41" t="s">
        <v>145</v>
      </c>
      <c r="L34" s="26"/>
      <c r="M34" s="10"/>
      <c r="N34" s="76"/>
      <c r="P34" s="10"/>
      <c r="Q34" s="10"/>
      <c r="R34" s="10"/>
      <c r="S34" s="10"/>
      <c r="T34" s="25"/>
    </row>
    <row r="35" spans="1:20" x14ac:dyDescent="0.2">
      <c r="A35" s="104" t="s">
        <v>158</v>
      </c>
      <c r="B35" s="142" t="s">
        <v>32</v>
      </c>
      <c r="C35" s="147" t="s">
        <v>41</v>
      </c>
      <c r="D35" s="144" t="s">
        <v>79</v>
      </c>
      <c r="E35" s="95"/>
      <c r="F35" s="95"/>
      <c r="G35" s="148" t="s">
        <v>80</v>
      </c>
      <c r="H35" s="149" t="s">
        <v>166</v>
      </c>
      <c r="I35" s="103" t="s">
        <v>163</v>
      </c>
      <c r="J35" s="41" t="s">
        <v>161</v>
      </c>
      <c r="L35" s="26"/>
      <c r="M35" s="10"/>
      <c r="N35" s="76"/>
      <c r="P35" s="10"/>
      <c r="Q35" s="10"/>
      <c r="R35" s="10"/>
      <c r="S35" s="10"/>
      <c r="T35" s="25"/>
    </row>
    <row r="36" spans="1:20" x14ac:dyDescent="0.2">
      <c r="A36" s="104" t="s">
        <v>146</v>
      </c>
      <c r="B36" s="142" t="s">
        <v>33</v>
      </c>
      <c r="C36" s="147" t="s">
        <v>40</v>
      </c>
      <c r="D36" s="144" t="s">
        <v>82</v>
      </c>
      <c r="E36" s="95"/>
      <c r="F36" s="95"/>
      <c r="G36" s="148" t="s">
        <v>83</v>
      </c>
      <c r="H36" s="149" t="s">
        <v>133</v>
      </c>
      <c r="I36" s="103" t="s">
        <v>33</v>
      </c>
      <c r="J36" s="41" t="s">
        <v>145</v>
      </c>
      <c r="L36" s="26"/>
      <c r="M36" s="10"/>
      <c r="N36" s="76"/>
      <c r="P36" s="10"/>
      <c r="Q36" s="10"/>
      <c r="R36" s="10"/>
      <c r="S36" s="10"/>
      <c r="T36" s="25"/>
    </row>
    <row r="37" spans="1:20" x14ac:dyDescent="0.2">
      <c r="A37" s="104" t="s">
        <v>159</v>
      </c>
      <c r="B37" s="142" t="s">
        <v>34</v>
      </c>
      <c r="C37" s="147" t="s">
        <v>41</v>
      </c>
      <c r="D37" s="144" t="s">
        <v>85</v>
      </c>
      <c r="E37" s="95"/>
      <c r="F37" s="95"/>
      <c r="G37" s="148" t="s">
        <v>86</v>
      </c>
      <c r="H37" s="149" t="s">
        <v>166</v>
      </c>
      <c r="I37" s="103" t="s">
        <v>164</v>
      </c>
      <c r="J37" s="41" t="s">
        <v>162</v>
      </c>
      <c r="L37" s="26"/>
      <c r="M37" s="10"/>
      <c r="N37" s="76"/>
      <c r="P37" s="10"/>
      <c r="Q37" s="10"/>
      <c r="R37" s="10"/>
      <c r="S37" s="10"/>
      <c r="T37" s="25"/>
    </row>
    <row r="38" spans="1:20" x14ac:dyDescent="0.2">
      <c r="A38" s="104" t="s">
        <v>147</v>
      </c>
      <c r="B38" s="142" t="s">
        <v>35</v>
      </c>
      <c r="C38" s="147" t="s">
        <v>40</v>
      </c>
      <c r="D38" s="144" t="s">
        <v>88</v>
      </c>
      <c r="E38" s="95"/>
      <c r="F38" s="95"/>
      <c r="G38" s="148" t="s">
        <v>83</v>
      </c>
      <c r="H38" s="149" t="s">
        <v>133</v>
      </c>
      <c r="I38" s="103" t="s">
        <v>148</v>
      </c>
      <c r="J38" s="41" t="s">
        <v>149</v>
      </c>
      <c r="L38" s="26"/>
      <c r="M38" s="10"/>
      <c r="N38" s="76"/>
      <c r="P38" s="10"/>
      <c r="Q38" s="10"/>
      <c r="R38" s="10"/>
      <c r="S38" s="10"/>
      <c r="T38" s="25"/>
    </row>
    <row r="39" spans="1:20" x14ac:dyDescent="0.2">
      <c r="A39" s="104" t="s">
        <v>160</v>
      </c>
      <c r="B39" s="142" t="s">
        <v>36</v>
      </c>
      <c r="C39" s="147" t="s">
        <v>41</v>
      </c>
      <c r="D39" s="144" t="s">
        <v>90</v>
      </c>
      <c r="E39" s="95"/>
      <c r="F39" s="95"/>
      <c r="G39" s="148" t="s">
        <v>86</v>
      </c>
      <c r="H39" s="149" t="s">
        <v>166</v>
      </c>
      <c r="I39" s="103" t="s">
        <v>165</v>
      </c>
      <c r="J39" s="41" t="s">
        <v>161</v>
      </c>
      <c r="L39" s="26"/>
      <c r="M39" s="10"/>
      <c r="N39" s="76"/>
      <c r="P39" s="10"/>
      <c r="Q39" s="10"/>
      <c r="R39" s="10"/>
      <c r="S39" s="10"/>
      <c r="T39" s="25"/>
    </row>
    <row r="40" spans="1:20" x14ac:dyDescent="0.2">
      <c r="A40" s="104" t="s">
        <v>150</v>
      </c>
      <c r="B40" s="142" t="s">
        <v>37</v>
      </c>
      <c r="C40" s="147" t="s">
        <v>41</v>
      </c>
      <c r="D40" s="144" t="s">
        <v>92</v>
      </c>
      <c r="E40" s="95"/>
      <c r="F40" s="95"/>
      <c r="G40" s="148" t="s">
        <v>93</v>
      </c>
      <c r="H40" s="149" t="s">
        <v>134</v>
      </c>
      <c r="I40" s="103" t="s">
        <v>135</v>
      </c>
      <c r="J40" s="41" t="s">
        <v>136</v>
      </c>
      <c r="L40" s="26"/>
      <c r="M40" s="10"/>
      <c r="N40" s="76"/>
      <c r="P40" s="10"/>
      <c r="Q40" s="10"/>
      <c r="R40" s="10"/>
      <c r="S40" s="10"/>
      <c r="T40" s="25"/>
    </row>
    <row r="41" spans="1:20" x14ac:dyDescent="0.2">
      <c r="A41" s="104" t="s">
        <v>151</v>
      </c>
      <c r="B41" s="142" t="s">
        <v>38</v>
      </c>
      <c r="C41" s="147" t="s">
        <v>41</v>
      </c>
      <c r="D41" s="144" t="s">
        <v>95</v>
      </c>
      <c r="E41" s="95"/>
      <c r="F41" s="95"/>
      <c r="G41" s="148" t="s">
        <v>96</v>
      </c>
      <c r="H41" s="149" t="s">
        <v>134</v>
      </c>
      <c r="I41" s="103" t="s">
        <v>137</v>
      </c>
      <c r="J41" s="41" t="s">
        <v>139</v>
      </c>
      <c r="L41" s="26"/>
      <c r="M41" s="10"/>
      <c r="N41" s="10"/>
      <c r="O41" s="31"/>
      <c r="P41" s="10"/>
      <c r="Q41" s="10"/>
      <c r="R41" s="10"/>
      <c r="S41" s="10"/>
      <c r="T41" s="25"/>
    </row>
    <row r="42" spans="1:20" ht="13.5" thickBot="1" x14ac:dyDescent="0.25">
      <c r="A42" s="105" t="s">
        <v>152</v>
      </c>
      <c r="B42" s="150" t="s">
        <v>39</v>
      </c>
      <c r="C42" s="151" t="s">
        <v>41</v>
      </c>
      <c r="D42" s="152" t="s">
        <v>98</v>
      </c>
      <c r="E42" s="95"/>
      <c r="F42" s="95"/>
      <c r="G42" s="153" t="s">
        <v>99</v>
      </c>
      <c r="H42" s="154" t="s">
        <v>134</v>
      </c>
      <c r="I42" s="106" t="s">
        <v>138</v>
      </c>
      <c r="J42" s="107" t="s">
        <v>153</v>
      </c>
      <c r="L42" s="32" t="s">
        <v>28</v>
      </c>
      <c r="M42" s="33"/>
      <c r="N42" s="33"/>
      <c r="O42" s="34"/>
      <c r="P42" s="34"/>
      <c r="Q42" s="34"/>
      <c r="R42" s="34"/>
      <c r="S42" s="34"/>
      <c r="T42" s="35"/>
    </row>
    <row r="43" spans="1:20" ht="10.5" customHeight="1" thickTop="1" x14ac:dyDescent="0.2">
      <c r="B43" s="77"/>
      <c r="C43" s="77"/>
      <c r="M43" s="77"/>
      <c r="N43" s="77"/>
    </row>
    <row r="44" spans="1:20" hidden="1" x14ac:dyDescent="0.2">
      <c r="B44" s="77"/>
      <c r="C44" s="77"/>
      <c r="M44" s="77"/>
      <c r="N44" s="77"/>
    </row>
    <row r="45" spans="1:20" s="4" customFormat="1" ht="31.5" hidden="1" customHeight="1" x14ac:dyDescent="0.4">
      <c r="A45" s="712" t="s">
        <v>11</v>
      </c>
      <c r="B45" s="713"/>
      <c r="C45" s="713"/>
      <c r="D45" s="713"/>
      <c r="E45" s="713"/>
      <c r="F45" s="713"/>
      <c r="G45" s="713"/>
      <c r="H45" s="713"/>
      <c r="I45" s="713"/>
      <c r="J45" s="713"/>
      <c r="K45" s="7"/>
      <c r="L45" s="712" t="s">
        <v>11</v>
      </c>
      <c r="M45" s="713"/>
      <c r="N45" s="713"/>
      <c r="O45" s="713"/>
      <c r="P45" s="713"/>
      <c r="Q45" s="713"/>
      <c r="R45" s="713"/>
      <c r="S45" s="713"/>
      <c r="T45" s="713"/>
    </row>
    <row r="46" spans="1:20" ht="13.5" hidden="1" thickBot="1" x14ac:dyDescent="0.25"/>
    <row r="47" spans="1:20" ht="13.5" hidden="1" thickTop="1" x14ac:dyDescent="0.2">
      <c r="A47" s="11" t="s">
        <v>0</v>
      </c>
      <c r="B47" s="12" t="s">
        <v>1</v>
      </c>
      <c r="C47" s="12" t="s">
        <v>2</v>
      </c>
      <c r="D47" s="12" t="s">
        <v>3</v>
      </c>
      <c r="E47" s="12" t="s">
        <v>8</v>
      </c>
      <c r="F47" s="12" t="s">
        <v>4</v>
      </c>
      <c r="G47" s="12" t="s">
        <v>5</v>
      </c>
      <c r="H47" s="12"/>
      <c r="I47" s="13" t="s">
        <v>6</v>
      </c>
      <c r="J47" s="14" t="s">
        <v>7</v>
      </c>
      <c r="L47" s="11" t="s">
        <v>0</v>
      </c>
      <c r="M47" s="12" t="s">
        <v>1</v>
      </c>
      <c r="N47" s="12" t="s">
        <v>2</v>
      </c>
      <c r="O47" s="12" t="s">
        <v>3</v>
      </c>
      <c r="P47" s="12" t="s">
        <v>8</v>
      </c>
      <c r="Q47" s="12" t="s">
        <v>4</v>
      </c>
      <c r="R47" s="12" t="s">
        <v>5</v>
      </c>
      <c r="S47" s="13" t="s">
        <v>6</v>
      </c>
      <c r="T47" s="14" t="s">
        <v>7</v>
      </c>
    </row>
    <row r="48" spans="1:20" hidden="1" x14ac:dyDescent="0.2">
      <c r="A48" s="108" t="s">
        <v>12</v>
      </c>
      <c r="B48" s="109">
        <v>5</v>
      </c>
      <c r="C48" s="110">
        <v>494.76</v>
      </c>
      <c r="D48" s="111">
        <v>0.5575</v>
      </c>
      <c r="E48" s="112">
        <v>3.6</v>
      </c>
      <c r="F48" s="113">
        <v>50</v>
      </c>
      <c r="G48" s="114">
        <v>600</v>
      </c>
      <c r="H48" s="114"/>
      <c r="I48" s="115" t="str">
        <f t="shared" ref="I48:I56" si="0">IF($B$6&lt;=F48-1,"UDEN FOR OMRÅDET",IF($B$6&gt;=G48+1,"UDEN FOR OMRÅDET",$B$6))</f>
        <v>UDEN FOR OMRÅDET</v>
      </c>
      <c r="J48" s="116">
        <f>IF($B$5&lt;=4,"UDEN FOR OMRÅDET",IF($B$5&gt;=31,"UDEN FOR OMRÅDET",$B$5))</f>
        <v>10</v>
      </c>
      <c r="L48" s="15" t="s">
        <v>75</v>
      </c>
      <c r="M48" s="8"/>
      <c r="N48" s="78"/>
      <c r="O48" s="79"/>
      <c r="P48" s="80">
        <v>2.2000000000000002</v>
      </c>
      <c r="Q48" s="45">
        <v>25</v>
      </c>
      <c r="R48" s="1">
        <v>804</v>
      </c>
      <c r="S48" s="2" t="str">
        <f t="shared" ref="S48:S56" si="1">IF($B$6&lt;=Q48-1,"UDEN FOR OMRÅDET",IF($B$6&gt;=R48+1,"UDEN FOR OMRÅDET",$B$6))</f>
        <v>UDEN FOR OMRÅDET</v>
      </c>
      <c r="T48" s="16">
        <f>IF(M5&lt;=7,"UDEN FOR OMRÅDET",IF(M5&gt;=401,"UDEN FOR OMRÅDET",M5))</f>
        <v>20</v>
      </c>
    </row>
    <row r="49" spans="1:20" hidden="1" x14ac:dyDescent="0.2">
      <c r="A49" s="15" t="s">
        <v>13</v>
      </c>
      <c r="B49" s="8">
        <v>20</v>
      </c>
      <c r="C49" s="52">
        <v>747.59</v>
      </c>
      <c r="D49" s="54">
        <v>0.31330000000000002</v>
      </c>
      <c r="E49" s="117">
        <v>3.6</v>
      </c>
      <c r="F49" s="45">
        <v>100</v>
      </c>
      <c r="G49" s="1">
        <v>1200</v>
      </c>
      <c r="H49" s="1"/>
      <c r="I49" s="2">
        <f t="shared" si="0"/>
        <v>1200</v>
      </c>
      <c r="J49" s="16" t="str">
        <f>IF($B$5&lt;=19,"UDEN FOR OMRÅDET",IF($B$5&gt;=61,"UDEN FOR OMRÅDET",$B$5))</f>
        <v>UDEN FOR OMRÅDET</v>
      </c>
      <c r="L49" s="15" t="s">
        <v>78</v>
      </c>
      <c r="M49" s="8"/>
      <c r="N49" s="78"/>
      <c r="O49" s="81"/>
      <c r="P49" s="80">
        <v>2.4</v>
      </c>
      <c r="Q49" s="45">
        <v>40</v>
      </c>
      <c r="R49" s="1">
        <v>1100</v>
      </c>
      <c r="S49" s="2" t="str">
        <f t="shared" si="1"/>
        <v>UDEN FOR OMRÅDET</v>
      </c>
      <c r="T49" s="16">
        <f>IF(M5&lt;=15,"UDEN FOR OMRÅDET",IF(M5&gt;=401,"UDEN FOR OMRÅDET",M5))</f>
        <v>20</v>
      </c>
    </row>
    <row r="50" spans="1:20" hidden="1" x14ac:dyDescent="0.2">
      <c r="A50" s="108" t="s">
        <v>14</v>
      </c>
      <c r="B50" s="109">
        <v>5</v>
      </c>
      <c r="C50" s="110">
        <v>682.82</v>
      </c>
      <c r="D50" s="111">
        <v>0.59</v>
      </c>
      <c r="E50" s="109">
        <v>4</v>
      </c>
      <c r="F50" s="113">
        <v>100</v>
      </c>
      <c r="G50" s="114">
        <v>1000</v>
      </c>
      <c r="H50" s="114"/>
      <c r="I50" s="115" t="str">
        <f t="shared" si="0"/>
        <v>UDEN FOR OMRÅDET</v>
      </c>
      <c r="J50" s="116">
        <f>IF($B$5&lt;=4,"UDEN FOR OMRÅDET",IF($B$5&gt;=31,"UDEN FOR OMRÅDET",$B$5))</f>
        <v>10</v>
      </c>
      <c r="L50" s="15" t="s">
        <v>81</v>
      </c>
      <c r="M50" s="8"/>
      <c r="N50" s="78"/>
      <c r="O50" s="81"/>
      <c r="P50" s="80">
        <v>3.3</v>
      </c>
      <c r="Q50" s="45">
        <v>41</v>
      </c>
      <c r="R50" s="1">
        <v>1265</v>
      </c>
      <c r="S50" s="2">
        <f t="shared" si="1"/>
        <v>1200</v>
      </c>
      <c r="T50" s="16">
        <f>IF(M5&lt;=8,"UDEN FOR OMRÅDET",IF(M5&gt;=401,"UDEN FOR OMRÅDET",M5))</f>
        <v>20</v>
      </c>
    </row>
    <row r="51" spans="1:20" hidden="1" x14ac:dyDescent="0.2">
      <c r="A51" s="15" t="s">
        <v>15</v>
      </c>
      <c r="B51" s="8">
        <v>20</v>
      </c>
      <c r="C51" s="52">
        <v>596.44000000000005</v>
      </c>
      <c r="D51" s="54">
        <v>0.32400000000000001</v>
      </c>
      <c r="E51" s="8">
        <v>4</v>
      </c>
      <c r="F51" s="45">
        <v>150</v>
      </c>
      <c r="G51" s="1">
        <v>2000</v>
      </c>
      <c r="H51" s="1"/>
      <c r="I51" s="2">
        <f t="shared" si="0"/>
        <v>1200</v>
      </c>
      <c r="J51" s="16" t="str">
        <f>IF($B$5&lt;=19,"UDEN FOR OMRÅDET",IF($B$5&gt;=61,"UDEN FOR OMRÅDET",$B$5))</f>
        <v>UDEN FOR OMRÅDET</v>
      </c>
      <c r="L51" s="15" t="s">
        <v>84</v>
      </c>
      <c r="M51" s="8"/>
      <c r="N51" s="78"/>
      <c r="O51" s="81"/>
      <c r="P51" s="80">
        <v>3.6</v>
      </c>
      <c r="Q51" s="45">
        <v>66</v>
      </c>
      <c r="R51" s="1">
        <v>1850</v>
      </c>
      <c r="S51" s="2">
        <f t="shared" si="1"/>
        <v>1200</v>
      </c>
      <c r="T51" s="16">
        <f>IF(M5&lt;=11,"UDEN FOR OMRÅDET",IF(M5&gt;=401,"UDEN FOR OMRÅDET",M5))</f>
        <v>20</v>
      </c>
    </row>
    <row r="52" spans="1:20" hidden="1" x14ac:dyDescent="0.2">
      <c r="A52" s="108" t="s">
        <v>16</v>
      </c>
      <c r="B52" s="109">
        <v>5</v>
      </c>
      <c r="C52" s="110">
        <v>802.65</v>
      </c>
      <c r="D52" s="111">
        <v>1.26</v>
      </c>
      <c r="E52" s="109">
        <v>9.5</v>
      </c>
      <c r="F52" s="113">
        <v>600</v>
      </c>
      <c r="G52" s="114">
        <v>2500</v>
      </c>
      <c r="H52" s="114"/>
      <c r="I52" s="115">
        <f t="shared" si="0"/>
        <v>1200</v>
      </c>
      <c r="J52" s="116">
        <f>IF($B$5&lt;=4,"UDEN FOR OMRÅDET",IF($B$5&gt;=31,"UDEN FOR OMRÅDET",$B$5))</f>
        <v>10</v>
      </c>
      <c r="L52" s="15" t="s">
        <v>87</v>
      </c>
      <c r="M52" s="8"/>
      <c r="N52" s="78"/>
      <c r="O52" s="81"/>
      <c r="P52" s="80">
        <v>4.0999999999999996</v>
      </c>
      <c r="Q52" s="45">
        <v>61</v>
      </c>
      <c r="R52" s="1">
        <v>1663</v>
      </c>
      <c r="S52" s="2">
        <f t="shared" si="1"/>
        <v>1200</v>
      </c>
      <c r="T52" s="16">
        <f>IF(M5&lt;=8,"UDEN FOR OMRÅDET",IF(M5&gt;=401,"UDEN FOR OMRÅDET",M5))</f>
        <v>20</v>
      </c>
    </row>
    <row r="53" spans="1:20" hidden="1" x14ac:dyDescent="0.2">
      <c r="A53" s="15" t="s">
        <v>17</v>
      </c>
      <c r="B53" s="8">
        <v>20</v>
      </c>
      <c r="C53" s="52">
        <v>1529.6</v>
      </c>
      <c r="D53" s="54">
        <v>0.71750000000000003</v>
      </c>
      <c r="E53" s="118">
        <v>9.5</v>
      </c>
      <c r="F53" s="45">
        <v>700</v>
      </c>
      <c r="G53" s="1">
        <v>4200</v>
      </c>
      <c r="H53" s="1"/>
      <c r="I53" s="2">
        <f t="shared" si="0"/>
        <v>1200</v>
      </c>
      <c r="J53" s="16" t="str">
        <f>IF($B$5&lt;=19,"UDEN FOR OMRÅDET",IF($B$5&gt;=61,"UDEN FOR OMRÅDET",$B$5))</f>
        <v>UDEN FOR OMRÅDET</v>
      </c>
      <c r="L53" s="15" t="s">
        <v>89</v>
      </c>
      <c r="M53" s="8"/>
      <c r="N53" s="78"/>
      <c r="O53" s="81"/>
      <c r="P53" s="80">
        <v>4.4000000000000004</v>
      </c>
      <c r="Q53" s="45">
        <v>89</v>
      </c>
      <c r="R53" s="1">
        <v>2350</v>
      </c>
      <c r="S53" s="2">
        <f t="shared" si="1"/>
        <v>1200</v>
      </c>
      <c r="T53" s="16">
        <f>IF(M5&lt;=11,"UDEN FOR OMRÅDET",IF(M5&gt;=401,"UDEN FOR OMRÅDET",M5))</f>
        <v>20</v>
      </c>
    </row>
    <row r="54" spans="1:20" hidden="1" x14ac:dyDescent="0.2">
      <c r="A54" s="108" t="s">
        <v>18</v>
      </c>
      <c r="B54" s="109">
        <v>20</v>
      </c>
      <c r="C54" s="110">
        <v>1338.84</v>
      </c>
      <c r="D54" s="111">
        <v>0.48330000000000001</v>
      </c>
      <c r="E54" s="109">
        <v>11.4</v>
      </c>
      <c r="F54" s="113">
        <v>1000</v>
      </c>
      <c r="G54" s="114">
        <v>4800</v>
      </c>
      <c r="H54" s="114"/>
      <c r="I54" s="115">
        <f t="shared" si="0"/>
        <v>1200</v>
      </c>
      <c r="J54" s="116" t="str">
        <f>IF($B$5&lt;=19,"UDEN FOR OMRÅDET",IF($B$5&gt;=81,"UDEN FOR OMRÅDET",$B$5))</f>
        <v>UDEN FOR OMRÅDET</v>
      </c>
      <c r="L54" s="15" t="s">
        <v>91</v>
      </c>
      <c r="M54" s="8"/>
      <c r="N54" s="78"/>
      <c r="O54" s="81"/>
      <c r="P54" s="80">
        <v>8.8000000000000007</v>
      </c>
      <c r="Q54" s="45">
        <v>217</v>
      </c>
      <c r="R54" s="1">
        <v>4800</v>
      </c>
      <c r="S54" s="2">
        <f t="shared" si="1"/>
        <v>1200</v>
      </c>
      <c r="T54" s="16">
        <f>IF(M5&lt;=13,"UDEN FOR OMRÅDET",IF(M5&gt;=401,"UDEN FOR OMRÅDET",M5))</f>
        <v>20</v>
      </c>
    </row>
    <row r="55" spans="1:20" hidden="1" x14ac:dyDescent="0.2">
      <c r="A55" s="108" t="s">
        <v>19</v>
      </c>
      <c r="B55" s="109">
        <v>20</v>
      </c>
      <c r="C55" s="119">
        <v>2213.08</v>
      </c>
      <c r="D55" s="120">
        <v>0.4133</v>
      </c>
      <c r="E55" s="115">
        <v>16.399999999999999</v>
      </c>
      <c r="F55" s="115">
        <v>3000</v>
      </c>
      <c r="G55" s="115">
        <v>7450</v>
      </c>
      <c r="H55" s="121"/>
      <c r="I55" s="115" t="str">
        <f t="shared" si="0"/>
        <v>UDEN FOR OMRÅDET</v>
      </c>
      <c r="J55" s="116" t="str">
        <f>IF($B$5&lt;=19,"UDEN FOR OMRÅDET",IF($B$5&gt;=81,"UDEN FOR OMRÅDET",$B$5))</f>
        <v>UDEN FOR OMRÅDET</v>
      </c>
      <c r="L55" s="15" t="s">
        <v>94</v>
      </c>
      <c r="M55" s="8"/>
      <c r="N55" s="82"/>
      <c r="O55" s="83"/>
      <c r="P55" s="84">
        <v>13.2</v>
      </c>
      <c r="Q55" s="2">
        <v>175</v>
      </c>
      <c r="R55" s="2">
        <v>7450</v>
      </c>
      <c r="S55" s="2">
        <f t="shared" si="1"/>
        <v>1200</v>
      </c>
      <c r="T55" s="16">
        <f>IF(M5&lt;=14,"UDEN FOR OMRÅDET",IF(M5&gt;=401,"UDEN FOR OMRÅDET",M5))</f>
        <v>20</v>
      </c>
    </row>
    <row r="56" spans="1:20" ht="13.5" hidden="1" thickBot="1" x14ac:dyDescent="0.25">
      <c r="A56" s="122" t="s">
        <v>20</v>
      </c>
      <c r="B56" s="109">
        <v>20</v>
      </c>
      <c r="C56" s="123">
        <v>2234.42</v>
      </c>
      <c r="D56" s="124">
        <v>0.35199999999999998</v>
      </c>
      <c r="E56" s="125">
        <v>17.899999999999999</v>
      </c>
      <c r="F56" s="125">
        <v>5000</v>
      </c>
      <c r="G56" s="125">
        <v>10350</v>
      </c>
      <c r="H56" s="126"/>
      <c r="I56" s="125" t="str">
        <f t="shared" si="0"/>
        <v>UDEN FOR OMRÅDET</v>
      </c>
      <c r="J56" s="127" t="str">
        <f>IF($B$5&lt;=19,"UDEN FOR OMRÅDET",IF($B$5&gt;=81,"UDEN FOR OMRÅDET",$B$5))</f>
        <v>UDEN FOR OMRÅDET</v>
      </c>
      <c r="L56" s="17" t="s">
        <v>97</v>
      </c>
      <c r="M56" s="48"/>
      <c r="N56" s="85"/>
      <c r="O56" s="86"/>
      <c r="P56" s="87">
        <v>16.7</v>
      </c>
      <c r="Q56" s="19">
        <v>440</v>
      </c>
      <c r="R56" s="19">
        <v>10350</v>
      </c>
      <c r="S56" s="19">
        <f t="shared" si="1"/>
        <v>1200</v>
      </c>
      <c r="T56" s="20">
        <f>IF(M5&lt;=16,"UDEN FOR OMRÅDET",IF(M5&gt;=401,"UDEN FOR OMRÅDET",M5))</f>
        <v>20</v>
      </c>
    </row>
    <row r="57" spans="1:20" ht="13.5" hidden="1" thickTop="1" x14ac:dyDescent="0.2">
      <c r="A57" s="9"/>
      <c r="B57" s="10"/>
      <c r="C57" s="10"/>
      <c r="D57" s="10"/>
      <c r="E57" s="10"/>
      <c r="F57" s="10"/>
      <c r="G57" s="10"/>
      <c r="H57" s="10"/>
      <c r="I57" s="10"/>
      <c r="J57" s="10"/>
    </row>
    <row r="58" spans="1:20" hidden="1" x14ac:dyDescent="0.2"/>
    <row r="59" spans="1:20" hidden="1" x14ac:dyDescent="0.2"/>
    <row r="62" spans="1:20" x14ac:dyDescent="0.2">
      <c r="I62" s="128"/>
    </row>
  </sheetData>
  <sheetProtection sheet="1" objects="1" scenarios="1"/>
  <mergeCells count="15">
    <mergeCell ref="L1:T1"/>
    <mergeCell ref="L2:T2"/>
    <mergeCell ref="L45:T45"/>
    <mergeCell ref="C9:F9"/>
    <mergeCell ref="A45:J45"/>
    <mergeCell ref="A9:B9"/>
    <mergeCell ref="A1:J1"/>
    <mergeCell ref="A2:J2"/>
    <mergeCell ref="B32:C32"/>
    <mergeCell ref="H32:J32"/>
    <mergeCell ref="A21:B21"/>
    <mergeCell ref="D32:G32"/>
    <mergeCell ref="A32:A33"/>
    <mergeCell ref="A8:B8"/>
    <mergeCell ref="C8:D8"/>
  </mergeCells>
  <phoneticPr fontId="0" type="noConversion"/>
  <pageMargins left="0.78740157480314965" right="0.11811023622047245" top="0.31496062992125984" bottom="0.19685039370078741" header="0.51181102362204722" footer="0.51181102362204722"/>
  <pageSetup paperSize="9" orientation="landscape" r:id="rId1"/>
  <headerFooter alignWithMargins="0"/>
  <ignoredErrors>
    <ignoredError sqref="H38 H34 H3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10</vt:i4>
      </vt:variant>
    </vt:vector>
  </HeadingPairs>
  <TitlesOfParts>
    <vt:vector size="25" baseType="lpstr">
      <vt:lpstr>Frese S</vt:lpstr>
      <vt:lpstr>Frese SIGMA Compact</vt:lpstr>
      <vt:lpstr>Frese SIGMA Compact Flange</vt:lpstr>
      <vt:lpstr>Frese OPTIMA</vt:lpstr>
      <vt:lpstr>Frese OPTIMA Compact</vt:lpstr>
      <vt:lpstr>Frese OPTIMA Compact Flanged</vt:lpstr>
      <vt:lpstr>Frese PV</vt:lpstr>
      <vt:lpstr>Frese PV Compact</vt:lpstr>
      <vt:lpstr>Frese PVS</vt:lpstr>
      <vt:lpstr>Frese PV-SIGMA</vt:lpstr>
      <vt:lpstr>ALPHA</vt:lpstr>
      <vt:lpstr>ALPHA Wafer</vt:lpstr>
      <vt:lpstr>EVA</vt:lpstr>
      <vt:lpstr>Frese OPTIMIZER</vt:lpstr>
      <vt:lpstr>Frese OPTIMIZER 6 way</vt:lpstr>
      <vt:lpstr>'Frese OPTIMA'!Udskriftsområde</vt:lpstr>
      <vt:lpstr>'Frese OPTIMA Compact'!Udskriftsområde</vt:lpstr>
      <vt:lpstr>'Frese OPTIMA Compact Flanged'!Udskriftsområde</vt:lpstr>
      <vt:lpstr>'Frese PV'!Udskriftsområde</vt:lpstr>
      <vt:lpstr>'Frese PV Compact'!Udskriftsområde</vt:lpstr>
      <vt:lpstr>'Frese PVS'!Udskriftsområde</vt:lpstr>
      <vt:lpstr>'Frese PV-SIGMA'!Udskriftsområde</vt:lpstr>
      <vt:lpstr>'Frese S'!Udskriftsområde</vt:lpstr>
      <vt:lpstr>'Frese SIGMA Compact'!Udskriftsområde</vt:lpstr>
      <vt:lpstr>'Frese SIGMA Compact Flange'!Udskriftsområde</vt:lpstr>
    </vt:vector>
  </TitlesOfParts>
  <Company>Frese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Johansen</dc:creator>
  <cp:lastModifiedBy>Jens Johansen</cp:lastModifiedBy>
  <cp:lastPrinted>2016-03-04T13:40:24Z</cp:lastPrinted>
  <dcterms:created xsi:type="dcterms:W3CDTF">2004-11-24T15:05:14Z</dcterms:created>
  <dcterms:modified xsi:type="dcterms:W3CDTF">2017-09-08T09:28:54Z</dcterms:modified>
</cp:coreProperties>
</file>